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9440" windowHeight="13185" firstSheet="5" activeTab="7"/>
  </bookViews>
  <sheets>
    <sheet name="ПС 110-35-10 &quot;ГИБДД&quot;" sheetId="8" r:id="rId1"/>
    <sheet name="ПС 35-10 &quot;Ярки&quot;" sheetId="7" r:id="rId2"/>
    <sheet name="ПС 110-10 &quot;Самарово&quot;" sheetId="9" r:id="rId3"/>
    <sheet name="ПС 110-10 &quot;Западная&quot;" sheetId="10" r:id="rId4"/>
    <sheet name="ПС 110-10-6 Пионерная-2" sheetId="4" r:id="rId5"/>
    <sheet name="ПС 110-10 Авангард" sheetId="1" r:id="rId6"/>
    <sheet name="ПС-110-10 МДФ" sheetId="2" r:id="rId7"/>
    <sheet name="ПС-110-35-10 ЮМАС" sheetId="11" r:id="rId8"/>
  </sheets>
  <externalReferences>
    <externalReference r:id="rId9"/>
  </externalReferences>
  <definedNames>
    <definedName name="_xlnm.Print_Area" localSheetId="2">'ПС 110-10 "Самарово"'!$A$1:$CB$66</definedName>
    <definedName name="_xlnm.Print_Area" localSheetId="5">'ПС 110-10 Авангард'!$A$1:$CB$70</definedName>
    <definedName name="_xlnm.Print_Area" localSheetId="6">'ПС-110-10 МДФ'!$A$1:$AR$106</definedName>
  </definedNames>
  <calcPr calcId="145621"/>
</workbook>
</file>

<file path=xl/calcChain.xml><?xml version="1.0" encoding="utf-8"?>
<calcChain xmlns="http://schemas.openxmlformats.org/spreadsheetml/2006/main">
  <c r="E23" i="1" l="1"/>
  <c r="C23" i="1"/>
  <c r="BZ3" i="1"/>
  <c r="AQ140" i="11" l="1"/>
  <c r="AP141" i="11" s="1"/>
  <c r="AH140" i="11"/>
  <c r="V140" i="11"/>
  <c r="S140" i="11"/>
  <c r="R141" i="11" s="1"/>
  <c r="J140" i="11"/>
  <c r="AQ138" i="11"/>
  <c r="AO138" i="11"/>
  <c r="AN138" i="11"/>
  <c r="AL138" i="11"/>
  <c r="AK138" i="11"/>
  <c r="AI138" i="11"/>
  <c r="AH138" i="11"/>
  <c r="AF138" i="11"/>
  <c r="AE138" i="11"/>
  <c r="AC138" i="11"/>
  <c r="AB138" i="11"/>
  <c r="Z138" i="11"/>
  <c r="Y138" i="11"/>
  <c r="W138" i="11"/>
  <c r="V138" i="11"/>
  <c r="T138" i="11"/>
  <c r="S138" i="11"/>
  <c r="Q138" i="11"/>
  <c r="P138" i="11"/>
  <c r="N138" i="11"/>
  <c r="M138" i="11"/>
  <c r="K138" i="11"/>
  <c r="J138" i="11"/>
  <c r="H138" i="11"/>
  <c r="AQ135" i="11"/>
  <c r="AO135" i="11"/>
  <c r="AN135" i="11"/>
  <c r="AL135" i="11"/>
  <c r="AK135" i="11"/>
  <c r="AI135" i="11"/>
  <c r="AH135" i="11"/>
  <c r="AF135" i="11"/>
  <c r="AE135" i="11"/>
  <c r="AC135" i="11"/>
  <c r="AB135" i="11"/>
  <c r="Z135" i="11"/>
  <c r="Y135" i="11"/>
  <c r="W135" i="11"/>
  <c r="V135" i="11"/>
  <c r="T135" i="11"/>
  <c r="S135" i="11"/>
  <c r="Q135" i="11"/>
  <c r="P135" i="11"/>
  <c r="N135" i="11"/>
  <c r="M135" i="11"/>
  <c r="K135" i="11"/>
  <c r="J135" i="11"/>
  <c r="H135" i="11"/>
  <c r="AQ134" i="11"/>
  <c r="AO134" i="11"/>
  <c r="AN134" i="11"/>
  <c r="AL134" i="11"/>
  <c r="AK134" i="11"/>
  <c r="AI134" i="11"/>
  <c r="AH134" i="11"/>
  <c r="AF134" i="11"/>
  <c r="AE134" i="11"/>
  <c r="AC134" i="11"/>
  <c r="AB134" i="11"/>
  <c r="Z134" i="11"/>
  <c r="Y134" i="11"/>
  <c r="W134" i="11"/>
  <c r="V134" i="11"/>
  <c r="T134" i="11"/>
  <c r="S134" i="11"/>
  <c r="Q134" i="11"/>
  <c r="P134" i="11"/>
  <c r="N134" i="11"/>
  <c r="M134" i="11"/>
  <c r="K134" i="11"/>
  <c r="J134" i="11"/>
  <c r="H134" i="11"/>
  <c r="AQ133" i="11"/>
  <c r="AO133" i="11"/>
  <c r="AO140" i="11" s="1"/>
  <c r="AN133" i="11"/>
  <c r="AN140" i="11" s="1"/>
  <c r="AM141" i="11" s="1"/>
  <c r="AL133" i="11"/>
  <c r="AL140" i="11" s="1"/>
  <c r="AK133" i="11"/>
  <c r="AK140" i="11" s="1"/>
  <c r="AJ141" i="11" s="1"/>
  <c r="AI133" i="11"/>
  <c r="AI140" i="11" s="1"/>
  <c r="AH133" i="11"/>
  <c r="AF133" i="11"/>
  <c r="AF140" i="11" s="1"/>
  <c r="AE133" i="11"/>
  <c r="AE140" i="11" s="1"/>
  <c r="AD141" i="11" s="1"/>
  <c r="AC133" i="11"/>
  <c r="AC140" i="11" s="1"/>
  <c r="AB133" i="11"/>
  <c r="AB140" i="11" s="1"/>
  <c r="AA141" i="11" s="1"/>
  <c r="Z133" i="11"/>
  <c r="Z140" i="11" s="1"/>
  <c r="Y133" i="11"/>
  <c r="Y140" i="11" s="1"/>
  <c r="X141" i="11" s="1"/>
  <c r="W133" i="11"/>
  <c r="W140" i="11" s="1"/>
  <c r="V133" i="11"/>
  <c r="T133" i="11"/>
  <c r="T140" i="11" s="1"/>
  <c r="S133" i="11"/>
  <c r="Q133" i="11"/>
  <c r="Q140" i="11" s="1"/>
  <c r="P133" i="11"/>
  <c r="P140" i="11" s="1"/>
  <c r="O141" i="11" s="1"/>
  <c r="N133" i="11"/>
  <c r="N140" i="11" s="1"/>
  <c r="M133" i="11"/>
  <c r="M140" i="11" s="1"/>
  <c r="L141" i="11" s="1"/>
  <c r="K133" i="11"/>
  <c r="K140" i="11" s="1"/>
  <c r="J133" i="11"/>
  <c r="H133" i="11"/>
  <c r="H140" i="11" s="1"/>
  <c r="AQ130" i="11"/>
  <c r="AO130" i="11"/>
  <c r="AN130" i="11"/>
  <c r="AL130" i="11"/>
  <c r="AK130" i="11"/>
  <c r="AI130" i="11"/>
  <c r="AH130" i="11"/>
  <c r="AF130" i="11"/>
  <c r="AE130" i="11"/>
  <c r="AC130" i="11"/>
  <c r="AB130" i="11"/>
  <c r="Z130" i="11"/>
  <c r="Y130" i="11"/>
  <c r="W130" i="11"/>
  <c r="V130" i="11"/>
  <c r="T130" i="11"/>
  <c r="S130" i="11"/>
  <c r="Q130" i="11"/>
  <c r="P130" i="11"/>
  <c r="N130" i="11"/>
  <c r="M130" i="11"/>
  <c r="K130" i="11"/>
  <c r="J130" i="11"/>
  <c r="H130" i="11"/>
  <c r="AQ129" i="11"/>
  <c r="AO129" i="11"/>
  <c r="AN129" i="11"/>
  <c r="AL129" i="11"/>
  <c r="AK129" i="11"/>
  <c r="AI129" i="11"/>
  <c r="AH129" i="11"/>
  <c r="AF129" i="11"/>
  <c r="AE129" i="11"/>
  <c r="AC129" i="11"/>
  <c r="AB129" i="11"/>
  <c r="Z129" i="11"/>
  <c r="Y129" i="11"/>
  <c r="W129" i="11"/>
  <c r="V129" i="11"/>
  <c r="T129" i="11"/>
  <c r="S129" i="11"/>
  <c r="Q129" i="11"/>
  <c r="P129" i="11"/>
  <c r="N129" i="11"/>
  <c r="M129" i="11"/>
  <c r="K129" i="11"/>
  <c r="J129" i="11"/>
  <c r="H129" i="11"/>
  <c r="AA126" i="11"/>
  <c r="S126" i="11"/>
  <c r="AQ125" i="11"/>
  <c r="AP125" i="11"/>
  <c r="AO125" i="11"/>
  <c r="AN125" i="11"/>
  <c r="AM125" i="11"/>
  <c r="AK125" i="11"/>
  <c r="AK126" i="11" s="1"/>
  <c r="AJ125" i="11"/>
  <c r="AH125" i="11"/>
  <c r="AG125" i="11"/>
  <c r="AE125" i="11"/>
  <c r="AD125" i="11"/>
  <c r="AB125" i="11"/>
  <c r="AA125" i="11"/>
  <c r="Y125" i="11"/>
  <c r="X125" i="11"/>
  <c r="V125" i="11"/>
  <c r="U125" i="11"/>
  <c r="S125" i="11"/>
  <c r="R125" i="11"/>
  <c r="Q125" i="11"/>
  <c r="P125" i="11"/>
  <c r="O125" i="11"/>
  <c r="M125" i="11"/>
  <c r="M126" i="11" s="1"/>
  <c r="L125" i="11"/>
  <c r="J125" i="11"/>
  <c r="I125" i="11"/>
  <c r="AQ124" i="11"/>
  <c r="AQ126" i="11" s="1"/>
  <c r="AP124" i="11"/>
  <c r="AP126" i="11" s="1"/>
  <c r="AN124" i="11"/>
  <c r="AN126" i="11" s="1"/>
  <c r="AM124" i="11"/>
  <c r="AM126" i="11" s="1"/>
  <c r="AK124" i="11"/>
  <c r="AJ124" i="11"/>
  <c r="AJ126" i="11" s="1"/>
  <c r="AH124" i="11"/>
  <c r="AH126" i="11" s="1"/>
  <c r="AG124" i="11"/>
  <c r="AG126" i="11" s="1"/>
  <c r="AE124" i="11"/>
  <c r="AE126" i="11" s="1"/>
  <c r="AD124" i="11"/>
  <c r="AD126" i="11" s="1"/>
  <c r="AC124" i="11"/>
  <c r="AB124" i="11"/>
  <c r="AB126" i="11" s="1"/>
  <c r="AA124" i="11"/>
  <c r="Y124" i="11"/>
  <c r="Y126" i="11" s="1"/>
  <c r="X124" i="11"/>
  <c r="X126" i="11" s="1"/>
  <c r="V124" i="11"/>
  <c r="V126" i="11" s="1"/>
  <c r="U124" i="11"/>
  <c r="U126" i="11" s="1"/>
  <c r="S124" i="11"/>
  <c r="R124" i="11"/>
  <c r="R126" i="11" s="1"/>
  <c r="P124" i="11"/>
  <c r="P126" i="11" s="1"/>
  <c r="O124" i="11"/>
  <c r="O126" i="11" s="1"/>
  <c r="M124" i="11"/>
  <c r="L124" i="11"/>
  <c r="L126" i="11" s="1"/>
  <c r="J124" i="11"/>
  <c r="J126" i="11" s="1"/>
  <c r="I124" i="11"/>
  <c r="I126" i="11" s="1"/>
  <c r="AO123" i="11"/>
  <c r="AL123" i="11"/>
  <c r="AL125" i="11" s="1"/>
  <c r="AI123" i="11"/>
  <c r="AF123" i="11"/>
  <c r="AF125" i="11" s="1"/>
  <c r="AC123" i="11"/>
  <c r="AC125" i="11" s="1"/>
  <c r="Z123" i="11"/>
  <c r="Z125" i="11" s="1"/>
  <c r="W123" i="11"/>
  <c r="T123" i="11"/>
  <c r="T125" i="11" s="1"/>
  <c r="Q123" i="11"/>
  <c r="N123" i="11"/>
  <c r="N125" i="11" s="1"/>
  <c r="K123" i="11"/>
  <c r="H123" i="11"/>
  <c r="H125" i="11" s="1"/>
  <c r="AO122" i="11"/>
  <c r="AL122" i="11"/>
  <c r="AI122" i="11"/>
  <c r="AF122" i="11"/>
  <c r="AC122" i="11"/>
  <c r="Z122" i="11"/>
  <c r="W122" i="11"/>
  <c r="T122" i="11"/>
  <c r="Q122" i="11"/>
  <c r="N122" i="11"/>
  <c r="K122" i="11"/>
  <c r="H122" i="11"/>
  <c r="AO121" i="11"/>
  <c r="AL121" i="11"/>
  <c r="AI121" i="11"/>
  <c r="AF121" i="11"/>
  <c r="AC121" i="11"/>
  <c r="Z121" i="11"/>
  <c r="W121" i="11"/>
  <c r="T121" i="11"/>
  <c r="Q121" i="11"/>
  <c r="N121" i="11"/>
  <c r="K121" i="11"/>
  <c r="H121" i="11"/>
  <c r="AO120" i="11"/>
  <c r="AL120" i="11"/>
  <c r="AI120" i="11"/>
  <c r="AF120" i="11"/>
  <c r="AC120" i="11"/>
  <c r="Z120" i="11"/>
  <c r="W120" i="11"/>
  <c r="T120" i="11"/>
  <c r="Q120" i="11"/>
  <c r="N120" i="11"/>
  <c r="K120" i="11"/>
  <c r="H120" i="11"/>
  <c r="AO119" i="11"/>
  <c r="AL119" i="11"/>
  <c r="AI119" i="11"/>
  <c r="AF119" i="11"/>
  <c r="AC119" i="11"/>
  <c r="Z119" i="11"/>
  <c r="W119" i="11"/>
  <c r="T119" i="11"/>
  <c r="Q119" i="11"/>
  <c r="N119" i="11"/>
  <c r="K119" i="11"/>
  <c r="H119" i="11"/>
  <c r="AO118" i="11"/>
  <c r="AL118" i="11"/>
  <c r="AI118" i="11"/>
  <c r="AF118" i="11"/>
  <c r="AC118" i="11"/>
  <c r="Z118" i="11"/>
  <c r="W118" i="11"/>
  <c r="T118" i="11"/>
  <c r="Q118" i="11"/>
  <c r="N118" i="11"/>
  <c r="K118" i="11"/>
  <c r="H118" i="11"/>
  <c r="AO117" i="11"/>
  <c r="AL117" i="11"/>
  <c r="AI117" i="11"/>
  <c r="AF117" i="11"/>
  <c r="AC117" i="11"/>
  <c r="Z117" i="11"/>
  <c r="W117" i="11"/>
  <c r="T117" i="11"/>
  <c r="Q117" i="11"/>
  <c r="N117" i="11"/>
  <c r="K117" i="11"/>
  <c r="H117" i="11"/>
  <c r="AO116" i="11"/>
  <c r="AL116" i="11"/>
  <c r="AI116" i="11"/>
  <c r="AF116" i="11"/>
  <c r="AC116" i="11"/>
  <c r="Z116" i="11"/>
  <c r="W116" i="11"/>
  <c r="T116" i="11"/>
  <c r="Q116" i="11"/>
  <c r="N116" i="11"/>
  <c r="K116" i="11"/>
  <c r="H116" i="11"/>
  <c r="AO115" i="11"/>
  <c r="AL115" i="11"/>
  <c r="AI115" i="11"/>
  <c r="AF115" i="11"/>
  <c r="AC115" i="11"/>
  <c r="Z115" i="11"/>
  <c r="W115" i="11"/>
  <c r="T115" i="11"/>
  <c r="Q115" i="11"/>
  <c r="N115" i="11"/>
  <c r="K115" i="11"/>
  <c r="H115" i="11"/>
  <c r="AO114" i="11"/>
  <c r="AL114" i="11"/>
  <c r="AI114" i="11"/>
  <c r="AF114" i="11"/>
  <c r="AC114" i="11"/>
  <c r="Z114" i="11"/>
  <c r="W114" i="11"/>
  <c r="T114" i="11"/>
  <c r="Q114" i="11"/>
  <c r="N114" i="11"/>
  <c r="K114" i="11"/>
  <c r="H114" i="11"/>
  <c r="AO113" i="11"/>
  <c r="AL113" i="11"/>
  <c r="AI113" i="11"/>
  <c r="AF113" i="11"/>
  <c r="AC113" i="11"/>
  <c r="Z113" i="11"/>
  <c r="W113" i="11"/>
  <c r="T113" i="11"/>
  <c r="Q113" i="11"/>
  <c r="N113" i="11"/>
  <c r="K113" i="11"/>
  <c r="H113" i="11"/>
  <c r="AO112" i="11"/>
  <c r="AL112" i="11"/>
  <c r="AI112" i="11"/>
  <c r="AF112" i="11"/>
  <c r="AC112" i="11"/>
  <c r="Z112" i="11"/>
  <c r="W112" i="11"/>
  <c r="T112" i="11"/>
  <c r="Q112" i="11"/>
  <c r="N112" i="11"/>
  <c r="K112" i="11"/>
  <c r="H112" i="11"/>
  <c r="AO111" i="11"/>
  <c r="AO124" i="11" s="1"/>
  <c r="AL111" i="11"/>
  <c r="AL124" i="11" s="1"/>
  <c r="AL126" i="11" s="1"/>
  <c r="AI111" i="11"/>
  <c r="AI124" i="11" s="1"/>
  <c r="AF111" i="11"/>
  <c r="AF124" i="11" s="1"/>
  <c r="AF126" i="11" s="1"/>
  <c r="AC111" i="11"/>
  <c r="Z111" i="11"/>
  <c r="Z124" i="11" s="1"/>
  <c r="Z126" i="11" s="1"/>
  <c r="W111" i="11"/>
  <c r="W124" i="11" s="1"/>
  <c r="T111" i="11"/>
  <c r="T124" i="11" s="1"/>
  <c r="T126" i="11" s="1"/>
  <c r="Q111" i="11"/>
  <c r="Q124" i="11" s="1"/>
  <c r="Q126" i="11" s="1"/>
  <c r="N111" i="11"/>
  <c r="N124" i="11" s="1"/>
  <c r="N126" i="11" s="1"/>
  <c r="K111" i="11"/>
  <c r="K124" i="11" s="1"/>
  <c r="H111" i="11"/>
  <c r="H124" i="11" s="1"/>
  <c r="H126" i="11" s="1"/>
  <c r="W107" i="11"/>
  <c r="O107" i="11"/>
  <c r="AQ106" i="11"/>
  <c r="AP106" i="11"/>
  <c r="AN106" i="11"/>
  <c r="AM106" i="11"/>
  <c r="AM107" i="11" s="1"/>
  <c r="AK106" i="11"/>
  <c r="AJ106" i="11"/>
  <c r="AI106" i="11"/>
  <c r="AH106" i="11"/>
  <c r="AG106" i="11"/>
  <c r="AE106" i="11"/>
  <c r="AD106" i="11"/>
  <c r="AC106" i="11"/>
  <c r="AB106" i="11"/>
  <c r="AA106" i="11"/>
  <c r="Y106" i="11"/>
  <c r="Y107" i="11" s="1"/>
  <c r="X106" i="11"/>
  <c r="V106" i="11"/>
  <c r="U106" i="11"/>
  <c r="S106" i="11"/>
  <c r="R106" i="11"/>
  <c r="P106" i="11"/>
  <c r="O106" i="11"/>
  <c r="M106" i="11"/>
  <c r="L106" i="11"/>
  <c r="K106" i="11"/>
  <c r="J106" i="11"/>
  <c r="I106" i="11"/>
  <c r="AQ105" i="11"/>
  <c r="AQ107" i="11" s="1"/>
  <c r="AP105" i="11"/>
  <c r="AP107" i="11" s="1"/>
  <c r="AN105" i="11"/>
  <c r="AN107" i="11" s="1"/>
  <c r="AM105" i="11"/>
  <c r="AK105" i="11"/>
  <c r="AK107" i="11" s="1"/>
  <c r="AJ105" i="11"/>
  <c r="AJ107" i="11" s="1"/>
  <c r="AH105" i="11"/>
  <c r="AH107" i="11" s="1"/>
  <c r="AG105" i="11"/>
  <c r="AG107" i="11" s="1"/>
  <c r="AE105" i="11"/>
  <c r="AE107" i="11" s="1"/>
  <c r="AD105" i="11"/>
  <c r="AD107" i="11" s="1"/>
  <c r="AB105" i="11"/>
  <c r="AB107" i="11" s="1"/>
  <c r="AA105" i="11"/>
  <c r="AA107" i="11" s="1"/>
  <c r="Y105" i="11"/>
  <c r="X105" i="11"/>
  <c r="X107" i="11" s="1"/>
  <c r="W105" i="11"/>
  <c r="V105" i="11"/>
  <c r="V107" i="11" s="1"/>
  <c r="U105" i="11"/>
  <c r="U107" i="11" s="1"/>
  <c r="S105" i="11"/>
  <c r="R105" i="11"/>
  <c r="R107" i="11" s="1"/>
  <c r="Q105" i="11"/>
  <c r="Q107" i="11" s="1"/>
  <c r="P105" i="11"/>
  <c r="P107" i="11" s="1"/>
  <c r="O105" i="11"/>
  <c r="M105" i="11"/>
  <c r="M107" i="11" s="1"/>
  <c r="L105" i="11"/>
  <c r="L107" i="11" s="1"/>
  <c r="J105" i="11"/>
  <c r="J107" i="11" s="1"/>
  <c r="I105" i="11"/>
  <c r="I107" i="11" s="1"/>
  <c r="AO104" i="11"/>
  <c r="AO106" i="11" s="1"/>
  <c r="AL104" i="11"/>
  <c r="AL106" i="11" s="1"/>
  <c r="AI104" i="11"/>
  <c r="AF104" i="11"/>
  <c r="AF106" i="11" s="1"/>
  <c r="AC104" i="11"/>
  <c r="Z104" i="11"/>
  <c r="Z106" i="11" s="1"/>
  <c r="W104" i="11"/>
  <c r="W106" i="11" s="1"/>
  <c r="T104" i="11"/>
  <c r="T106" i="11" s="1"/>
  <c r="Q104" i="11"/>
  <c r="Q106" i="11" s="1"/>
  <c r="N104" i="11"/>
  <c r="N106" i="11" s="1"/>
  <c r="K104" i="11"/>
  <c r="H104" i="11"/>
  <c r="H106" i="11" s="1"/>
  <c r="AO103" i="11"/>
  <c r="AO105" i="11" s="1"/>
  <c r="AO107" i="11" s="1"/>
  <c r="AL103" i="11"/>
  <c r="AL105" i="11" s="1"/>
  <c r="AL107" i="11" s="1"/>
  <c r="AI103" i="11"/>
  <c r="AI105" i="11" s="1"/>
  <c r="AI107" i="11" s="1"/>
  <c r="AF103" i="11"/>
  <c r="AF105" i="11" s="1"/>
  <c r="AF107" i="11" s="1"/>
  <c r="AC103" i="11"/>
  <c r="AC105" i="11" s="1"/>
  <c r="Z103" i="11"/>
  <c r="Z105" i="11" s="1"/>
  <c r="Z107" i="11" s="1"/>
  <c r="W103" i="11"/>
  <c r="T103" i="11"/>
  <c r="T105" i="11" s="1"/>
  <c r="T107" i="11" s="1"/>
  <c r="Q103" i="11"/>
  <c r="N103" i="11"/>
  <c r="N105" i="11" s="1"/>
  <c r="N107" i="11" s="1"/>
  <c r="K103" i="11"/>
  <c r="K105" i="11" s="1"/>
  <c r="K107" i="11" s="1"/>
  <c r="H103" i="11"/>
  <c r="H105" i="11" s="1"/>
  <c r="H107" i="11" s="1"/>
  <c r="AQ96" i="11"/>
  <c r="AP96" i="11"/>
  <c r="AN96" i="11"/>
  <c r="AM96" i="11"/>
  <c r="AK96" i="11"/>
  <c r="AJ96" i="11"/>
  <c r="AH96" i="11"/>
  <c r="AG96" i="11"/>
  <c r="AE96" i="11"/>
  <c r="AD96" i="11"/>
  <c r="AC96" i="11"/>
  <c r="AB96" i="11"/>
  <c r="AA96" i="11"/>
  <c r="Y96" i="11"/>
  <c r="X96" i="11"/>
  <c r="V96" i="11"/>
  <c r="U96" i="11"/>
  <c r="S96" i="11"/>
  <c r="R96" i="11"/>
  <c r="P96" i="11"/>
  <c r="O96" i="11"/>
  <c r="M96" i="11"/>
  <c r="L96" i="11"/>
  <c r="J96" i="11"/>
  <c r="I96" i="11"/>
  <c r="AQ95" i="11"/>
  <c r="AP95" i="11"/>
  <c r="AO95" i="11"/>
  <c r="AN95" i="11"/>
  <c r="AM95" i="11"/>
  <c r="AK95" i="11"/>
  <c r="AJ95" i="11"/>
  <c r="AH95" i="11"/>
  <c r="AG95" i="11"/>
  <c r="AE95" i="11"/>
  <c r="AD95" i="11"/>
  <c r="AB95" i="11"/>
  <c r="AA95" i="11"/>
  <c r="Y95" i="11"/>
  <c r="X95" i="11"/>
  <c r="V95" i="11"/>
  <c r="U95" i="11"/>
  <c r="S95" i="11"/>
  <c r="R95" i="11"/>
  <c r="Q95" i="11"/>
  <c r="P95" i="11"/>
  <c r="O95" i="11"/>
  <c r="M95" i="11"/>
  <c r="L95" i="11"/>
  <c r="J95" i="11"/>
  <c r="I95" i="11"/>
  <c r="AQ94" i="11"/>
  <c r="AP94" i="11"/>
  <c r="AN94" i="11"/>
  <c r="AM94" i="11"/>
  <c r="AK94" i="11"/>
  <c r="AJ94" i="11"/>
  <c r="AH94" i="11"/>
  <c r="AG94" i="11"/>
  <c r="AE94" i="11"/>
  <c r="AD94" i="11"/>
  <c r="AC94" i="11"/>
  <c r="AB94" i="11"/>
  <c r="AA94" i="11"/>
  <c r="Y94" i="11"/>
  <c r="X94" i="11"/>
  <c r="V94" i="11"/>
  <c r="U94" i="11"/>
  <c r="S94" i="11"/>
  <c r="R94" i="11"/>
  <c r="P94" i="11"/>
  <c r="O94" i="11"/>
  <c r="M94" i="11"/>
  <c r="L94" i="11"/>
  <c r="J94" i="11"/>
  <c r="I94" i="11"/>
  <c r="AO88" i="11"/>
  <c r="AO96" i="11" s="1"/>
  <c r="AL88" i="11"/>
  <c r="AL96" i="11" s="1"/>
  <c r="AI88" i="11"/>
  <c r="AF88" i="11"/>
  <c r="AF96" i="11" s="1"/>
  <c r="AC88" i="11"/>
  <c r="Z88" i="11"/>
  <c r="Z96" i="11" s="1"/>
  <c r="W88" i="11"/>
  <c r="T88" i="11"/>
  <c r="T96" i="11" s="1"/>
  <c r="Q88" i="11"/>
  <c r="Q96" i="11" s="1"/>
  <c r="N88" i="11"/>
  <c r="N96" i="11" s="1"/>
  <c r="K88" i="11"/>
  <c r="H88" i="11"/>
  <c r="H96" i="11" s="1"/>
  <c r="AO87" i="11"/>
  <c r="AL87" i="11"/>
  <c r="AL95" i="11" s="1"/>
  <c r="AI87" i="11"/>
  <c r="AF87" i="11"/>
  <c r="AF95" i="11" s="1"/>
  <c r="AC87" i="11"/>
  <c r="AC95" i="11" s="1"/>
  <c r="Z87" i="11"/>
  <c r="Z95" i="11" s="1"/>
  <c r="W87" i="11"/>
  <c r="T87" i="11"/>
  <c r="T95" i="11" s="1"/>
  <c r="Q87" i="11"/>
  <c r="N87" i="11"/>
  <c r="N95" i="11" s="1"/>
  <c r="K87" i="11"/>
  <c r="H87" i="11"/>
  <c r="H95" i="11" s="1"/>
  <c r="AO86" i="11"/>
  <c r="AO94" i="11" s="1"/>
  <c r="AL86" i="11"/>
  <c r="AL94" i="11" s="1"/>
  <c r="AI86" i="11"/>
  <c r="AF86" i="11"/>
  <c r="AF94" i="11" s="1"/>
  <c r="AC86" i="11"/>
  <c r="Z86" i="11"/>
  <c r="Z94" i="11" s="1"/>
  <c r="W86" i="11"/>
  <c r="T86" i="11"/>
  <c r="T94" i="11" s="1"/>
  <c r="Q86" i="11"/>
  <c r="Q94" i="11" s="1"/>
  <c r="N86" i="11"/>
  <c r="N94" i="11" s="1"/>
  <c r="K86" i="11"/>
  <c r="H86" i="11"/>
  <c r="H94" i="11" s="1"/>
  <c r="AO80" i="11"/>
  <c r="AL80" i="11"/>
  <c r="AI80" i="11"/>
  <c r="AF80" i="11"/>
  <c r="AC80" i="11"/>
  <c r="Z80" i="11"/>
  <c r="W80" i="11"/>
  <c r="T80" i="11"/>
  <c r="Q80" i="11"/>
  <c r="N80" i="11"/>
  <c r="K80" i="11"/>
  <c r="H80" i="11"/>
  <c r="AO79" i="11"/>
  <c r="AL79" i="11"/>
  <c r="AI79" i="11"/>
  <c r="AF79" i="11"/>
  <c r="AC79" i="11"/>
  <c r="Z79" i="11"/>
  <c r="W79" i="11"/>
  <c r="T79" i="11"/>
  <c r="Q79" i="11"/>
  <c r="N79" i="11"/>
  <c r="K79" i="11"/>
  <c r="H79" i="11"/>
  <c r="AO78" i="11"/>
  <c r="AL78" i="11"/>
  <c r="AI78" i="11"/>
  <c r="AF78" i="11"/>
  <c r="AC78" i="11"/>
  <c r="Z78" i="11"/>
  <c r="W78" i="11"/>
  <c r="T78" i="11"/>
  <c r="Q78" i="11"/>
  <c r="N78" i="11"/>
  <c r="K78" i="11"/>
  <c r="H78" i="11"/>
  <c r="AQ71" i="11"/>
  <c r="AP72" i="11" s="1"/>
  <c r="AH71" i="11"/>
  <c r="V71" i="11"/>
  <c r="S71" i="11"/>
  <c r="R72" i="11" s="1"/>
  <c r="J71" i="11"/>
  <c r="AQ69" i="11"/>
  <c r="AO69" i="11"/>
  <c r="AN69" i="11"/>
  <c r="AL69" i="11"/>
  <c r="AK69" i="11"/>
  <c r="AI69" i="11"/>
  <c r="AH69" i="11"/>
  <c r="AF69" i="11"/>
  <c r="AE69" i="11"/>
  <c r="AC69" i="11"/>
  <c r="AB69" i="11"/>
  <c r="Z69" i="11"/>
  <c r="Y69" i="11"/>
  <c r="W69" i="11"/>
  <c r="V69" i="11"/>
  <c r="T69" i="11"/>
  <c r="S69" i="11"/>
  <c r="Q69" i="11"/>
  <c r="P69" i="11"/>
  <c r="N69" i="11"/>
  <c r="M69" i="11"/>
  <c r="K69" i="11"/>
  <c r="J69" i="11"/>
  <c r="H69" i="11"/>
  <c r="AQ66" i="11"/>
  <c r="AO66" i="11"/>
  <c r="AN66" i="11"/>
  <c r="AL66" i="11"/>
  <c r="AK66" i="11"/>
  <c r="AI66" i="11"/>
  <c r="AH66" i="11"/>
  <c r="AF66" i="11"/>
  <c r="AE66" i="11"/>
  <c r="AC66" i="11"/>
  <c r="AB66" i="11"/>
  <c r="Z66" i="11"/>
  <c r="Y66" i="11"/>
  <c r="W66" i="11"/>
  <c r="V66" i="11"/>
  <c r="T66" i="11"/>
  <c r="S66" i="11"/>
  <c r="Q66" i="11"/>
  <c r="P66" i="11"/>
  <c r="N66" i="11"/>
  <c r="M66" i="11"/>
  <c r="K66" i="11"/>
  <c r="J66" i="11"/>
  <c r="H66" i="11"/>
  <c r="AQ65" i="11"/>
  <c r="AO65" i="11"/>
  <c r="AN65" i="11"/>
  <c r="AL65" i="11"/>
  <c r="AK65" i="11"/>
  <c r="AI65" i="11"/>
  <c r="AH65" i="11"/>
  <c r="AF65" i="11"/>
  <c r="AE65" i="11"/>
  <c r="AC65" i="11"/>
  <c r="AB65" i="11"/>
  <c r="Z65" i="11"/>
  <c r="Y65" i="11"/>
  <c r="W65" i="11"/>
  <c r="V65" i="11"/>
  <c r="T65" i="11"/>
  <c r="S65" i="11"/>
  <c r="Q65" i="11"/>
  <c r="P65" i="11"/>
  <c r="N65" i="11"/>
  <c r="M65" i="11"/>
  <c r="K65" i="11"/>
  <c r="J65" i="11"/>
  <c r="H65" i="11"/>
  <c r="AQ64" i="11"/>
  <c r="AO64" i="11"/>
  <c r="AO71" i="11" s="1"/>
  <c r="AN64" i="11"/>
  <c r="AN71" i="11" s="1"/>
  <c r="AM72" i="11" s="1"/>
  <c r="AL64" i="11"/>
  <c r="AL71" i="11" s="1"/>
  <c r="AK64" i="11"/>
  <c r="AK71" i="11" s="1"/>
  <c r="AJ72" i="11" s="1"/>
  <c r="AI64" i="11"/>
  <c r="AI71" i="11" s="1"/>
  <c r="AH64" i="11"/>
  <c r="AF64" i="11"/>
  <c r="AF71" i="11" s="1"/>
  <c r="AE64" i="11"/>
  <c r="AE71" i="11" s="1"/>
  <c r="AD72" i="11" s="1"/>
  <c r="AC64" i="11"/>
  <c r="AC71" i="11" s="1"/>
  <c r="AB64" i="11"/>
  <c r="AB71" i="11" s="1"/>
  <c r="AA72" i="11" s="1"/>
  <c r="Z64" i="11"/>
  <c r="Z71" i="11" s="1"/>
  <c r="Y64" i="11"/>
  <c r="Y71" i="11" s="1"/>
  <c r="X72" i="11" s="1"/>
  <c r="W64" i="11"/>
  <c r="W71" i="11" s="1"/>
  <c r="V64" i="11"/>
  <c r="T64" i="11"/>
  <c r="T71" i="11" s="1"/>
  <c r="S64" i="11"/>
  <c r="Q64" i="11"/>
  <c r="Q71" i="11" s="1"/>
  <c r="P64" i="11"/>
  <c r="P71" i="11" s="1"/>
  <c r="O72" i="11" s="1"/>
  <c r="N64" i="11"/>
  <c r="N71" i="11" s="1"/>
  <c r="M64" i="11"/>
  <c r="M71" i="11" s="1"/>
  <c r="L72" i="11" s="1"/>
  <c r="K64" i="11"/>
  <c r="K71" i="11" s="1"/>
  <c r="J64" i="11"/>
  <c r="H64" i="11"/>
  <c r="H71" i="11" s="1"/>
  <c r="AQ61" i="11"/>
  <c r="AO61" i="11"/>
  <c r="AN61" i="11"/>
  <c r="AL61" i="11"/>
  <c r="AK61" i="11"/>
  <c r="AI61" i="11"/>
  <c r="AH61" i="11"/>
  <c r="AF61" i="11"/>
  <c r="AE61" i="11"/>
  <c r="AC61" i="11"/>
  <c r="AB61" i="11"/>
  <c r="Z61" i="11"/>
  <c r="Y61" i="11"/>
  <c r="W61" i="11"/>
  <c r="V61" i="11"/>
  <c r="T61" i="11"/>
  <c r="S61" i="11"/>
  <c r="Q61" i="11"/>
  <c r="P61" i="11"/>
  <c r="N61" i="11"/>
  <c r="M61" i="11"/>
  <c r="K61" i="11"/>
  <c r="J61" i="11"/>
  <c r="H61" i="11"/>
  <c r="AQ60" i="11"/>
  <c r="AO60" i="11"/>
  <c r="AN60" i="11"/>
  <c r="AL60" i="11"/>
  <c r="AK60" i="11"/>
  <c r="AI60" i="11"/>
  <c r="AH60" i="11"/>
  <c r="AF60" i="11"/>
  <c r="AE60" i="11"/>
  <c r="AC60" i="11"/>
  <c r="AB60" i="11"/>
  <c r="Z60" i="11"/>
  <c r="Y60" i="11"/>
  <c r="W60" i="11"/>
  <c r="V60" i="11"/>
  <c r="T60" i="11"/>
  <c r="S60" i="11"/>
  <c r="Q60" i="11"/>
  <c r="P60" i="11"/>
  <c r="N60" i="11"/>
  <c r="M60" i="11"/>
  <c r="K60" i="11"/>
  <c r="J60" i="11"/>
  <c r="H60" i="11"/>
  <c r="AA57" i="11"/>
  <c r="S57" i="11"/>
  <c r="AQ56" i="11"/>
  <c r="AP56" i="11"/>
  <c r="AO56" i="11"/>
  <c r="AN56" i="11"/>
  <c r="AM56" i="11"/>
  <c r="AK56" i="11"/>
  <c r="AK57" i="11" s="1"/>
  <c r="AJ56" i="11"/>
  <c r="AH56" i="11"/>
  <c r="AG56" i="11"/>
  <c r="AE56" i="11"/>
  <c r="AD56" i="11"/>
  <c r="AB56" i="11"/>
  <c r="AA56" i="11"/>
  <c r="Y56" i="11"/>
  <c r="X56" i="11"/>
  <c r="V56" i="11"/>
  <c r="U56" i="11"/>
  <c r="S56" i="11"/>
  <c r="R56" i="11"/>
  <c r="Q56" i="11"/>
  <c r="P56" i="11"/>
  <c r="O56" i="11"/>
  <c r="M56" i="11"/>
  <c r="M57" i="11" s="1"/>
  <c r="L56" i="11"/>
  <c r="J56" i="11"/>
  <c r="I56" i="11"/>
  <c r="AQ55" i="11"/>
  <c r="AQ57" i="11" s="1"/>
  <c r="AP55" i="11"/>
  <c r="AP57" i="11" s="1"/>
  <c r="AN55" i="11"/>
  <c r="AN57" i="11" s="1"/>
  <c r="AM55" i="11"/>
  <c r="AM57" i="11" s="1"/>
  <c r="AK55" i="11"/>
  <c r="AJ55" i="11"/>
  <c r="AJ57" i="11" s="1"/>
  <c r="AH55" i="11"/>
  <c r="AH57" i="11" s="1"/>
  <c r="AG55" i="11"/>
  <c r="AG57" i="11" s="1"/>
  <c r="AE55" i="11"/>
  <c r="AD55" i="11"/>
  <c r="AD57" i="11" s="1"/>
  <c r="AC55" i="11"/>
  <c r="AC57" i="11" s="1"/>
  <c r="AB55" i="11"/>
  <c r="AB57" i="11" s="1"/>
  <c r="AA55" i="11"/>
  <c r="Y55" i="11"/>
  <c r="Y57" i="11" s="1"/>
  <c r="X55" i="11"/>
  <c r="X57" i="11" s="1"/>
  <c r="V55" i="11"/>
  <c r="V57" i="11" s="1"/>
  <c r="U55" i="11"/>
  <c r="U57" i="11" s="1"/>
  <c r="S55" i="11"/>
  <c r="R55" i="11"/>
  <c r="R57" i="11" s="1"/>
  <c r="P55" i="11"/>
  <c r="P57" i="11" s="1"/>
  <c r="O55" i="11"/>
  <c r="O57" i="11" s="1"/>
  <c r="M55" i="11"/>
  <c r="L55" i="11"/>
  <c r="L57" i="11" s="1"/>
  <c r="J55" i="11"/>
  <c r="J57" i="11" s="1"/>
  <c r="I55" i="11"/>
  <c r="I57" i="11" s="1"/>
  <c r="AO54" i="11"/>
  <c r="AL54" i="11"/>
  <c r="AL56" i="11" s="1"/>
  <c r="AI54" i="11"/>
  <c r="AF54" i="11"/>
  <c r="AF56" i="11" s="1"/>
  <c r="AC54" i="11"/>
  <c r="AC56" i="11" s="1"/>
  <c r="Z54" i="11"/>
  <c r="Z56" i="11" s="1"/>
  <c r="W54" i="11"/>
  <c r="T54" i="11"/>
  <c r="T56" i="11" s="1"/>
  <c r="Q54" i="11"/>
  <c r="N54" i="11"/>
  <c r="N56" i="11" s="1"/>
  <c r="K54" i="11"/>
  <c r="H54" i="11"/>
  <c r="H56" i="11" s="1"/>
  <c r="AO53" i="11"/>
  <c r="AL53" i="11"/>
  <c r="AI53" i="11"/>
  <c r="AF53" i="11"/>
  <c r="AC53" i="11"/>
  <c r="Z53" i="11"/>
  <c r="W53" i="11"/>
  <c r="T53" i="11"/>
  <c r="Q53" i="11"/>
  <c r="N53" i="11"/>
  <c r="K53" i="11"/>
  <c r="H53" i="11"/>
  <c r="AO52" i="11"/>
  <c r="AL52" i="11"/>
  <c r="AI52" i="11"/>
  <c r="AF52" i="11"/>
  <c r="AC52" i="11"/>
  <c r="Z52" i="11"/>
  <c r="W52" i="11"/>
  <c r="T52" i="11"/>
  <c r="Q52" i="11"/>
  <c r="N52" i="11"/>
  <c r="K52" i="11"/>
  <c r="H52" i="11"/>
  <c r="AO51" i="11"/>
  <c r="AL51" i="11"/>
  <c r="AI51" i="11"/>
  <c r="AF51" i="11"/>
  <c r="AC51" i="11"/>
  <c r="Z51" i="11"/>
  <c r="W51" i="11"/>
  <c r="T51" i="11"/>
  <c r="Q51" i="11"/>
  <c r="N51" i="11"/>
  <c r="K51" i="11"/>
  <c r="H51" i="11"/>
  <c r="AO50" i="11"/>
  <c r="AL50" i="11"/>
  <c r="AI50" i="11"/>
  <c r="AF50" i="11"/>
  <c r="AC50" i="11"/>
  <c r="Z50" i="11"/>
  <c r="W50" i="11"/>
  <c r="T50" i="11"/>
  <c r="Q50" i="11"/>
  <c r="N50" i="11"/>
  <c r="K50" i="11"/>
  <c r="H50" i="11"/>
  <c r="AO49" i="11"/>
  <c r="AL49" i="11"/>
  <c r="AI49" i="11"/>
  <c r="AF49" i="11"/>
  <c r="AC49" i="11"/>
  <c r="Z49" i="11"/>
  <c r="W49" i="11"/>
  <c r="T49" i="11"/>
  <c r="Q49" i="11"/>
  <c r="N49" i="11"/>
  <c r="K49" i="11"/>
  <c r="H49" i="11"/>
  <c r="AO48" i="11"/>
  <c r="AL48" i="11"/>
  <c r="AI48" i="11"/>
  <c r="AF48" i="11"/>
  <c r="AC48" i="11"/>
  <c r="Z48" i="11"/>
  <c r="W48" i="11"/>
  <c r="T48" i="11"/>
  <c r="Q48" i="11"/>
  <c r="N48" i="11"/>
  <c r="K48" i="11"/>
  <c r="H48" i="11"/>
  <c r="AO47" i="11"/>
  <c r="AL47" i="11"/>
  <c r="AI47" i="11"/>
  <c r="AF47" i="11"/>
  <c r="AC47" i="11"/>
  <c r="Z47" i="11"/>
  <c r="W47" i="11"/>
  <c r="T47" i="11"/>
  <c r="Q47" i="11"/>
  <c r="N47" i="11"/>
  <c r="K47" i="11"/>
  <c r="H47" i="11"/>
  <c r="AO46" i="11"/>
  <c r="AL46" i="11"/>
  <c r="AI46" i="11"/>
  <c r="AF46" i="11"/>
  <c r="AC46" i="11"/>
  <c r="Z46" i="11"/>
  <c r="W46" i="11"/>
  <c r="T46" i="11"/>
  <c r="Q46" i="11"/>
  <c r="N46" i="11"/>
  <c r="K46" i="11"/>
  <c r="H46" i="11"/>
  <c r="AO45" i="11"/>
  <c r="AL45" i="11"/>
  <c r="AI45" i="11"/>
  <c r="AF45" i="11"/>
  <c r="AC45" i="11"/>
  <c r="Z45" i="11"/>
  <c r="W45" i="11"/>
  <c r="T45" i="11"/>
  <c r="Q45" i="11"/>
  <c r="N45" i="11"/>
  <c r="K45" i="11"/>
  <c r="H45" i="11"/>
  <c r="AO44" i="11"/>
  <c r="AL44" i="11"/>
  <c r="AI44" i="11"/>
  <c r="AF44" i="11"/>
  <c r="AC44" i="11"/>
  <c r="Z44" i="11"/>
  <c r="W44" i="11"/>
  <c r="T44" i="11"/>
  <c r="Q44" i="11"/>
  <c r="N44" i="11"/>
  <c r="K44" i="11"/>
  <c r="H44" i="11"/>
  <c r="AO43" i="11"/>
  <c r="AL43" i="11"/>
  <c r="AI43" i="11"/>
  <c r="AF43" i="11"/>
  <c r="AC43" i="11"/>
  <c r="Z43" i="11"/>
  <c r="W43" i="11"/>
  <c r="T43" i="11"/>
  <c r="Q43" i="11"/>
  <c r="N43" i="11"/>
  <c r="K43" i="11"/>
  <c r="H43" i="11"/>
  <c r="AO42" i="11"/>
  <c r="AO55" i="11" s="1"/>
  <c r="AL42" i="11"/>
  <c r="AL55" i="11" s="1"/>
  <c r="AL57" i="11" s="1"/>
  <c r="AI42" i="11"/>
  <c r="AI55" i="11" s="1"/>
  <c r="AF42" i="11"/>
  <c r="AF55" i="11" s="1"/>
  <c r="AF57" i="11" s="1"/>
  <c r="AC42" i="11"/>
  <c r="Z42" i="11"/>
  <c r="Z55" i="11" s="1"/>
  <c r="Z57" i="11" s="1"/>
  <c r="W42" i="11"/>
  <c r="W55" i="11" s="1"/>
  <c r="T42" i="11"/>
  <c r="T55" i="11" s="1"/>
  <c r="T57" i="11" s="1"/>
  <c r="Q42" i="11"/>
  <c r="Q55" i="11" s="1"/>
  <c r="Q57" i="11" s="1"/>
  <c r="N42" i="11"/>
  <c r="N55" i="11" s="1"/>
  <c r="N57" i="11" s="1"/>
  <c r="K42" i="11"/>
  <c r="K55" i="11" s="1"/>
  <c r="H42" i="11"/>
  <c r="H55" i="11" s="1"/>
  <c r="H57" i="11" s="1"/>
  <c r="W38" i="11"/>
  <c r="I38" i="11"/>
  <c r="AQ37" i="11"/>
  <c r="AP37" i="11"/>
  <c r="AN37" i="11"/>
  <c r="AM37" i="11"/>
  <c r="AM38" i="11" s="1"/>
  <c r="AK37" i="11"/>
  <c r="AJ37" i="11"/>
  <c r="AI37" i="11"/>
  <c r="AH37" i="11"/>
  <c r="AG37" i="11"/>
  <c r="AE37" i="11"/>
  <c r="AD37" i="11"/>
  <c r="AB37" i="11"/>
  <c r="AA37" i="11"/>
  <c r="Y37" i="11"/>
  <c r="Y38" i="11" s="1"/>
  <c r="X37" i="11"/>
  <c r="V37" i="11"/>
  <c r="U37" i="11"/>
  <c r="S37" i="11"/>
  <c r="R37" i="11"/>
  <c r="P37" i="11"/>
  <c r="O37" i="11"/>
  <c r="M37" i="11"/>
  <c r="L37" i="11"/>
  <c r="K37" i="11"/>
  <c r="J37" i="11"/>
  <c r="I37" i="11"/>
  <c r="AQ36" i="11"/>
  <c r="AP36" i="11"/>
  <c r="AP38" i="11" s="1"/>
  <c r="AO36" i="11"/>
  <c r="AO38" i="11" s="1"/>
  <c r="AN36" i="11"/>
  <c r="AN38" i="11" s="1"/>
  <c r="AM36" i="11"/>
  <c r="AK36" i="11"/>
  <c r="AK38" i="11" s="1"/>
  <c r="AJ36" i="11"/>
  <c r="AJ38" i="11" s="1"/>
  <c r="AH36" i="11"/>
  <c r="AH38" i="11" s="1"/>
  <c r="AG36" i="11"/>
  <c r="AG38" i="11" s="1"/>
  <c r="AE36" i="11"/>
  <c r="AE38" i="11" s="1"/>
  <c r="AD36" i="11"/>
  <c r="AD38" i="11" s="1"/>
  <c r="AB36" i="11"/>
  <c r="AB38" i="11" s="1"/>
  <c r="AA36" i="11"/>
  <c r="AA38" i="11" s="1"/>
  <c r="Y36" i="11"/>
  <c r="X36" i="11"/>
  <c r="X38" i="11" s="1"/>
  <c r="W36" i="11"/>
  <c r="V36" i="11"/>
  <c r="V38" i="11" s="1"/>
  <c r="U36" i="11"/>
  <c r="U38" i="11" s="1"/>
  <c r="S36" i="11"/>
  <c r="S38" i="11" s="1"/>
  <c r="R36" i="11"/>
  <c r="R38" i="11" s="1"/>
  <c r="P36" i="11"/>
  <c r="P38" i="11" s="1"/>
  <c r="O36" i="11"/>
  <c r="O38" i="11" s="1"/>
  <c r="M36" i="11"/>
  <c r="M38" i="11" s="1"/>
  <c r="L36" i="11"/>
  <c r="L38" i="11" s="1"/>
  <c r="K36" i="11"/>
  <c r="K38" i="11" s="1"/>
  <c r="J36" i="11"/>
  <c r="J38" i="11" s="1"/>
  <c r="I36" i="11"/>
  <c r="AO35" i="11"/>
  <c r="AO37" i="11" s="1"/>
  <c r="AL35" i="11"/>
  <c r="AL37" i="11" s="1"/>
  <c r="AI35" i="11"/>
  <c r="AF35" i="11"/>
  <c r="AF37" i="11" s="1"/>
  <c r="AC35" i="11"/>
  <c r="AC37" i="11" s="1"/>
  <c r="Z35" i="11"/>
  <c r="Z37" i="11" s="1"/>
  <c r="W35" i="11"/>
  <c r="W37" i="11" s="1"/>
  <c r="T35" i="11"/>
  <c r="T37" i="11" s="1"/>
  <c r="Q35" i="11"/>
  <c r="Q37" i="11" s="1"/>
  <c r="N35" i="11"/>
  <c r="N37" i="11" s="1"/>
  <c r="K35" i="11"/>
  <c r="H35" i="11"/>
  <c r="H37" i="11" s="1"/>
  <c r="AO34" i="11"/>
  <c r="AL34" i="11"/>
  <c r="AL36" i="11" s="1"/>
  <c r="AL38" i="11" s="1"/>
  <c r="AI34" i="11"/>
  <c r="AI36" i="11" s="1"/>
  <c r="AI38" i="11" s="1"/>
  <c r="AF34" i="11"/>
  <c r="AF36" i="11" s="1"/>
  <c r="AF38" i="11" s="1"/>
  <c r="AC34" i="11"/>
  <c r="AC36" i="11" s="1"/>
  <c r="Z34" i="11"/>
  <c r="Z36" i="11" s="1"/>
  <c r="Z38" i="11" s="1"/>
  <c r="W34" i="11"/>
  <c r="T34" i="11"/>
  <c r="T36" i="11" s="1"/>
  <c r="T38" i="11" s="1"/>
  <c r="Q34" i="11"/>
  <c r="Q36" i="11" s="1"/>
  <c r="Q38" i="11" s="1"/>
  <c r="N34" i="11"/>
  <c r="N36" i="11" s="1"/>
  <c r="N38" i="11" s="1"/>
  <c r="K34" i="11"/>
  <c r="H34" i="11"/>
  <c r="H36" i="11" s="1"/>
  <c r="H38" i="11" s="1"/>
  <c r="AQ27" i="11"/>
  <c r="AP27" i="11"/>
  <c r="AO27" i="11"/>
  <c r="AN27" i="11"/>
  <c r="AM27" i="11"/>
  <c r="AK27" i="11"/>
  <c r="AJ27" i="11"/>
  <c r="AH27" i="11"/>
  <c r="AG27" i="11"/>
  <c r="AE27" i="11"/>
  <c r="AD27" i="11"/>
  <c r="AC27" i="11"/>
  <c r="AB27" i="11"/>
  <c r="AA27" i="11"/>
  <c r="Y27" i="11"/>
  <c r="X27" i="11"/>
  <c r="V27" i="11"/>
  <c r="U27" i="11"/>
  <c r="S27" i="11"/>
  <c r="R27" i="11"/>
  <c r="Q27" i="11"/>
  <c r="P27" i="11"/>
  <c r="O27" i="11"/>
  <c r="M27" i="11"/>
  <c r="L27" i="11"/>
  <c r="J27" i="11"/>
  <c r="I27" i="11"/>
  <c r="B30" i="11" s="1"/>
  <c r="AQ26" i="11"/>
  <c r="AP26" i="11"/>
  <c r="AO26" i="11"/>
  <c r="AN26" i="11"/>
  <c r="AM26" i="11"/>
  <c r="AK26" i="11"/>
  <c r="AJ26" i="11"/>
  <c r="AH26" i="11"/>
  <c r="AG26" i="11"/>
  <c r="AE26" i="11"/>
  <c r="AD26" i="11"/>
  <c r="AC26" i="11"/>
  <c r="AB26" i="11"/>
  <c r="AA26" i="11"/>
  <c r="Y26" i="11"/>
  <c r="X26" i="11"/>
  <c r="V26" i="11"/>
  <c r="U26" i="11"/>
  <c r="S26" i="11"/>
  <c r="R26" i="11"/>
  <c r="Q26" i="11"/>
  <c r="P26" i="11"/>
  <c r="O26" i="11"/>
  <c r="M26" i="11"/>
  <c r="L26" i="11"/>
  <c r="J26" i="11"/>
  <c r="I26" i="11"/>
  <c r="B29" i="11" s="1"/>
  <c r="AQ25" i="11"/>
  <c r="AP25" i="11"/>
  <c r="AO25" i="11"/>
  <c r="AN25" i="11"/>
  <c r="AM25" i="11"/>
  <c r="AK25" i="11"/>
  <c r="AJ25" i="11"/>
  <c r="AH25" i="11"/>
  <c r="AG25" i="11"/>
  <c r="AE25" i="11"/>
  <c r="AD25" i="11"/>
  <c r="AC25" i="11"/>
  <c r="AB25" i="11"/>
  <c r="AA25" i="11"/>
  <c r="Y25" i="11"/>
  <c r="X25" i="11"/>
  <c r="V25" i="11"/>
  <c r="U25" i="11"/>
  <c r="S25" i="11"/>
  <c r="R25" i="11"/>
  <c r="Q25" i="11"/>
  <c r="P25" i="11"/>
  <c r="O25" i="11"/>
  <c r="M25" i="11"/>
  <c r="E28" i="11" s="1"/>
  <c r="L25" i="11"/>
  <c r="J25" i="11"/>
  <c r="I25" i="11"/>
  <c r="AO19" i="11"/>
  <c r="AL19" i="11"/>
  <c r="AI19" i="11"/>
  <c r="AF19" i="11"/>
  <c r="AF27" i="11" s="1"/>
  <c r="AC19" i="11"/>
  <c r="Z19" i="11"/>
  <c r="W19" i="11"/>
  <c r="T19" i="11"/>
  <c r="T27" i="11" s="1"/>
  <c r="Q19" i="11"/>
  <c r="N19" i="11"/>
  <c r="K19" i="11"/>
  <c r="H19" i="11"/>
  <c r="H27" i="11" s="1"/>
  <c r="AO18" i="11"/>
  <c r="AL18" i="11"/>
  <c r="AI18" i="11"/>
  <c r="AF18" i="11"/>
  <c r="AF26" i="11" s="1"/>
  <c r="AC18" i="11"/>
  <c r="Z18" i="11"/>
  <c r="W18" i="11"/>
  <c r="T18" i="11"/>
  <c r="T26" i="11" s="1"/>
  <c r="Q18" i="11"/>
  <c r="N18" i="11"/>
  <c r="K18" i="11"/>
  <c r="H18" i="11"/>
  <c r="H26" i="11" s="1"/>
  <c r="AO17" i="11"/>
  <c r="AL17" i="11"/>
  <c r="AI17" i="11"/>
  <c r="AF17" i="11"/>
  <c r="AF25" i="11" s="1"/>
  <c r="AC17" i="11"/>
  <c r="Z17" i="11"/>
  <c r="W17" i="11"/>
  <c r="T17" i="11"/>
  <c r="T25" i="11" s="1"/>
  <c r="Q17" i="11"/>
  <c r="N17" i="11"/>
  <c r="K17" i="11"/>
  <c r="H17" i="11"/>
  <c r="H25" i="11" s="1"/>
  <c r="AO11" i="11"/>
  <c r="AL11" i="11"/>
  <c r="AI11" i="11"/>
  <c r="AF11" i="11"/>
  <c r="AC11" i="11"/>
  <c r="Z11" i="11"/>
  <c r="W11" i="11"/>
  <c r="T11" i="11"/>
  <c r="Q11" i="11"/>
  <c r="N11" i="11"/>
  <c r="K11" i="11"/>
  <c r="H11" i="11"/>
  <c r="AO10" i="11"/>
  <c r="AL10" i="11"/>
  <c r="AI10" i="11"/>
  <c r="AF10" i="11"/>
  <c r="AC10" i="11"/>
  <c r="Z10" i="11"/>
  <c r="W10" i="11"/>
  <c r="T10" i="11"/>
  <c r="Q10" i="11"/>
  <c r="N10" i="11"/>
  <c r="K10" i="11"/>
  <c r="H10" i="11"/>
  <c r="AO9" i="11"/>
  <c r="AL9" i="11"/>
  <c r="AI9" i="11"/>
  <c r="AF9" i="11"/>
  <c r="AC9" i="11"/>
  <c r="Z9" i="11"/>
  <c r="W9" i="11"/>
  <c r="T9" i="11"/>
  <c r="Q9" i="11"/>
  <c r="N9" i="11"/>
  <c r="K9" i="11"/>
  <c r="H9" i="11"/>
  <c r="AQ100" i="2"/>
  <c r="AO100" i="2"/>
  <c r="AN100" i="2"/>
  <c r="AL100" i="2"/>
  <c r="AK100" i="2"/>
  <c r="AI100" i="2"/>
  <c r="AH100" i="2"/>
  <c r="AF100" i="2"/>
  <c r="AE100" i="2"/>
  <c r="AC100" i="2"/>
  <c r="AB100" i="2"/>
  <c r="Z100" i="2"/>
  <c r="Y100" i="2"/>
  <c r="W100" i="2"/>
  <c r="V100" i="2"/>
  <c r="T100" i="2"/>
  <c r="S100" i="2"/>
  <c r="Q100" i="2"/>
  <c r="P100" i="2"/>
  <c r="N100" i="2"/>
  <c r="M100" i="2"/>
  <c r="K100" i="2"/>
  <c r="J100" i="2"/>
  <c r="H100" i="2"/>
  <c r="AQ97" i="2"/>
  <c r="AO97" i="2"/>
  <c r="AN97" i="2"/>
  <c r="AL97" i="2"/>
  <c r="AK97" i="2"/>
  <c r="AI97" i="2"/>
  <c r="AH97" i="2"/>
  <c r="AF97" i="2"/>
  <c r="AE97" i="2"/>
  <c r="AC97" i="2"/>
  <c r="AB97" i="2"/>
  <c r="Z97" i="2"/>
  <c r="Y97" i="2"/>
  <c r="W97" i="2"/>
  <c r="V97" i="2"/>
  <c r="T97" i="2"/>
  <c r="S97" i="2"/>
  <c r="Q97" i="2"/>
  <c r="P97" i="2"/>
  <c r="N97" i="2"/>
  <c r="M97" i="2"/>
  <c r="K97" i="2"/>
  <c r="J97" i="2"/>
  <c r="H97" i="2"/>
  <c r="AQ96" i="2"/>
  <c r="AO96" i="2"/>
  <c r="AN96" i="2"/>
  <c r="AL96" i="2"/>
  <c r="AK96" i="2"/>
  <c r="AI96" i="2"/>
  <c r="AH96" i="2"/>
  <c r="AF96" i="2"/>
  <c r="AE96" i="2"/>
  <c r="AC96" i="2"/>
  <c r="AB96" i="2"/>
  <c r="Z96" i="2"/>
  <c r="Y96" i="2"/>
  <c r="W96" i="2"/>
  <c r="V96" i="2"/>
  <c r="T96" i="2"/>
  <c r="S96" i="2"/>
  <c r="Q96" i="2"/>
  <c r="P96" i="2"/>
  <c r="N96" i="2"/>
  <c r="M96" i="2"/>
  <c r="K96" i="2"/>
  <c r="J96" i="2"/>
  <c r="H96" i="2"/>
  <c r="AQ95" i="2"/>
  <c r="AQ102" i="2" s="1"/>
  <c r="AP103" i="2" s="1"/>
  <c r="AO95" i="2"/>
  <c r="AO102" i="2" s="1"/>
  <c r="AN95" i="2"/>
  <c r="AN102" i="2" s="1"/>
  <c r="AM103" i="2" s="1"/>
  <c r="AL95" i="2"/>
  <c r="AL102" i="2" s="1"/>
  <c r="AK95" i="2"/>
  <c r="AK102" i="2" s="1"/>
  <c r="AJ103" i="2" s="1"/>
  <c r="AI95" i="2"/>
  <c r="AI102" i="2" s="1"/>
  <c r="AH95" i="2"/>
  <c r="AH102" i="2" s="1"/>
  <c r="AG103" i="2" s="1"/>
  <c r="AF95" i="2"/>
  <c r="AF102" i="2" s="1"/>
  <c r="AE95" i="2"/>
  <c r="AE102" i="2" s="1"/>
  <c r="AD103" i="2" s="1"/>
  <c r="AC95" i="2"/>
  <c r="AC102" i="2" s="1"/>
  <c r="AB95" i="2"/>
  <c r="AB102" i="2" s="1"/>
  <c r="AA103" i="2" s="1"/>
  <c r="Z95" i="2"/>
  <c r="Z102" i="2" s="1"/>
  <c r="Y95" i="2"/>
  <c r="Y102" i="2" s="1"/>
  <c r="X103" i="2" s="1"/>
  <c r="W95" i="2"/>
  <c r="W102" i="2" s="1"/>
  <c r="V95" i="2"/>
  <c r="V102" i="2" s="1"/>
  <c r="U103" i="2" s="1"/>
  <c r="T95" i="2"/>
  <c r="T102" i="2" s="1"/>
  <c r="S95" i="2"/>
  <c r="S102" i="2" s="1"/>
  <c r="R103" i="2" s="1"/>
  <c r="Q95" i="2"/>
  <c r="Q102" i="2" s="1"/>
  <c r="P95" i="2"/>
  <c r="P102" i="2" s="1"/>
  <c r="O103" i="2" s="1"/>
  <c r="N95" i="2"/>
  <c r="N102" i="2" s="1"/>
  <c r="M95" i="2"/>
  <c r="M102" i="2" s="1"/>
  <c r="L103" i="2" s="1"/>
  <c r="K95" i="2"/>
  <c r="K102" i="2" s="1"/>
  <c r="J95" i="2"/>
  <c r="J102" i="2" s="1"/>
  <c r="I103" i="2" s="1"/>
  <c r="H95" i="2"/>
  <c r="H102" i="2" s="1"/>
  <c r="AQ92" i="2"/>
  <c r="AO92" i="2"/>
  <c r="AN92" i="2"/>
  <c r="AL92" i="2"/>
  <c r="AK92" i="2"/>
  <c r="AI92" i="2"/>
  <c r="AH92" i="2"/>
  <c r="AF92" i="2"/>
  <c r="AE92" i="2"/>
  <c r="AC92" i="2"/>
  <c r="AB92" i="2"/>
  <c r="Z92" i="2"/>
  <c r="Y92" i="2"/>
  <c r="W92" i="2"/>
  <c r="V92" i="2"/>
  <c r="T92" i="2"/>
  <c r="S92" i="2"/>
  <c r="Q92" i="2"/>
  <c r="P92" i="2"/>
  <c r="N92" i="2"/>
  <c r="M92" i="2"/>
  <c r="K92" i="2"/>
  <c r="J92" i="2"/>
  <c r="H92" i="2"/>
  <c r="AQ91" i="2"/>
  <c r="AO91" i="2"/>
  <c r="AN91" i="2"/>
  <c r="AL91" i="2"/>
  <c r="AK91" i="2"/>
  <c r="AI91" i="2"/>
  <c r="AH91" i="2"/>
  <c r="AF91" i="2"/>
  <c r="AE91" i="2"/>
  <c r="AC91" i="2"/>
  <c r="AB91" i="2"/>
  <c r="Z91" i="2"/>
  <c r="Y91" i="2"/>
  <c r="W91" i="2"/>
  <c r="V91" i="2"/>
  <c r="T91" i="2"/>
  <c r="S91" i="2"/>
  <c r="Q91" i="2"/>
  <c r="P91" i="2"/>
  <c r="N91" i="2"/>
  <c r="M91" i="2"/>
  <c r="K91" i="2"/>
  <c r="J91" i="2"/>
  <c r="H91" i="2"/>
  <c r="AQ87" i="2"/>
  <c r="AP87" i="2"/>
  <c r="AN87" i="2"/>
  <c r="AM87" i="2"/>
  <c r="AK87" i="2"/>
  <c r="AJ87" i="2"/>
  <c r="AH87" i="2"/>
  <c r="AG87" i="2"/>
  <c r="AE87" i="2"/>
  <c r="AD87" i="2"/>
  <c r="AB87" i="2"/>
  <c r="AA87" i="2"/>
  <c r="Y87" i="2"/>
  <c r="X87" i="2"/>
  <c r="V87" i="2"/>
  <c r="U87" i="2"/>
  <c r="S87" i="2"/>
  <c r="R87" i="2"/>
  <c r="P87" i="2"/>
  <c r="O87" i="2"/>
  <c r="M87" i="2"/>
  <c r="L87" i="2"/>
  <c r="J87" i="2"/>
  <c r="I87" i="2"/>
  <c r="AQ86" i="2"/>
  <c r="AQ88" i="2" s="1"/>
  <c r="AP86" i="2"/>
  <c r="AP88" i="2" s="1"/>
  <c r="AN86" i="2"/>
  <c r="AN88" i="2" s="1"/>
  <c r="AM86" i="2"/>
  <c r="AM88" i="2" s="1"/>
  <c r="AK86" i="2"/>
  <c r="AK88" i="2" s="1"/>
  <c r="AJ86" i="2"/>
  <c r="AJ88" i="2" s="1"/>
  <c r="AH86" i="2"/>
  <c r="AH88" i="2" s="1"/>
  <c r="AG86" i="2"/>
  <c r="AG88" i="2" s="1"/>
  <c r="AE86" i="2"/>
  <c r="AE88" i="2" s="1"/>
  <c r="AD86" i="2"/>
  <c r="AD88" i="2" s="1"/>
  <c r="AB86" i="2"/>
  <c r="AB88" i="2" s="1"/>
  <c r="AA86" i="2"/>
  <c r="AA88" i="2" s="1"/>
  <c r="Y86" i="2"/>
  <c r="Y88" i="2" s="1"/>
  <c r="X86" i="2"/>
  <c r="X88" i="2" s="1"/>
  <c r="V86" i="2"/>
  <c r="V88" i="2" s="1"/>
  <c r="U86" i="2"/>
  <c r="U88" i="2" s="1"/>
  <c r="S86" i="2"/>
  <c r="S88" i="2" s="1"/>
  <c r="R86" i="2"/>
  <c r="R88" i="2" s="1"/>
  <c r="P86" i="2"/>
  <c r="P88" i="2" s="1"/>
  <c r="O86" i="2"/>
  <c r="O88" i="2" s="1"/>
  <c r="M86" i="2"/>
  <c r="M88" i="2" s="1"/>
  <c r="L86" i="2"/>
  <c r="L88" i="2" s="1"/>
  <c r="J86" i="2"/>
  <c r="J88" i="2" s="1"/>
  <c r="I86" i="2"/>
  <c r="I88" i="2" s="1"/>
  <c r="AO85" i="2"/>
  <c r="AL85" i="2"/>
  <c r="AI85" i="2"/>
  <c r="AF85" i="2"/>
  <c r="AC85" i="2"/>
  <c r="Z85" i="2"/>
  <c r="W85" i="2"/>
  <c r="T85" i="2"/>
  <c r="Q85" i="2"/>
  <c r="N85" i="2"/>
  <c r="K85" i="2"/>
  <c r="H85" i="2"/>
  <c r="AO84" i="2"/>
  <c r="AL84" i="2"/>
  <c r="AI84" i="2"/>
  <c r="AF84" i="2"/>
  <c r="AC84" i="2"/>
  <c r="Z84" i="2"/>
  <c r="W84" i="2"/>
  <c r="T84" i="2"/>
  <c r="Q84" i="2"/>
  <c r="N84" i="2"/>
  <c r="K84" i="2"/>
  <c r="H84" i="2"/>
  <c r="AO83" i="2"/>
  <c r="AL83" i="2"/>
  <c r="AI83" i="2"/>
  <c r="AF83" i="2"/>
  <c r="AC83" i="2"/>
  <c r="Z83" i="2"/>
  <c r="W83" i="2"/>
  <c r="T83" i="2"/>
  <c r="Q83" i="2"/>
  <c r="N83" i="2"/>
  <c r="K83" i="2"/>
  <c r="H83" i="2"/>
  <c r="AO82" i="2"/>
  <c r="AL82" i="2"/>
  <c r="AI82" i="2"/>
  <c r="AF82" i="2"/>
  <c r="AC82" i="2"/>
  <c r="Z82" i="2"/>
  <c r="W82" i="2"/>
  <c r="T82" i="2"/>
  <c r="Q82" i="2"/>
  <c r="N82" i="2"/>
  <c r="K82" i="2"/>
  <c r="H82" i="2"/>
  <c r="AO81" i="2"/>
  <c r="AL81" i="2"/>
  <c r="AI81" i="2"/>
  <c r="AF81" i="2"/>
  <c r="AC81" i="2"/>
  <c r="Z81" i="2"/>
  <c r="W81" i="2"/>
  <c r="T81" i="2"/>
  <c r="Q81" i="2"/>
  <c r="N81" i="2"/>
  <c r="K81" i="2"/>
  <c r="H81" i="2"/>
  <c r="AO80" i="2"/>
  <c r="AL80" i="2"/>
  <c r="AI80" i="2"/>
  <c r="AF80" i="2"/>
  <c r="AC80" i="2"/>
  <c r="Z80" i="2"/>
  <c r="W80" i="2"/>
  <c r="T80" i="2"/>
  <c r="Q80" i="2"/>
  <c r="N80" i="2"/>
  <c r="K80" i="2"/>
  <c r="H80" i="2"/>
  <c r="AO78" i="2"/>
  <c r="AO86" i="2" s="1"/>
  <c r="AL78" i="2"/>
  <c r="AL86" i="2" s="1"/>
  <c r="AI78" i="2"/>
  <c r="AI86" i="2" s="1"/>
  <c r="AF78" i="2"/>
  <c r="AF86" i="2" s="1"/>
  <c r="AC78" i="2"/>
  <c r="AC86" i="2" s="1"/>
  <c r="Z78" i="2"/>
  <c r="Z86" i="2" s="1"/>
  <c r="W78" i="2"/>
  <c r="W86" i="2" s="1"/>
  <c r="T78" i="2"/>
  <c r="T86" i="2" s="1"/>
  <c r="Q78" i="2"/>
  <c r="Q86" i="2" s="1"/>
  <c r="N78" i="2"/>
  <c r="N86" i="2" s="1"/>
  <c r="K78" i="2"/>
  <c r="K86" i="2" s="1"/>
  <c r="H78" i="2"/>
  <c r="H86" i="2" s="1"/>
  <c r="AQ72" i="2"/>
  <c r="AP72" i="2"/>
  <c r="AN72" i="2"/>
  <c r="AM72" i="2"/>
  <c r="AK72" i="2"/>
  <c r="AJ72" i="2"/>
  <c r="AH72" i="2"/>
  <c r="AG72" i="2"/>
  <c r="AE72" i="2"/>
  <c r="AD72" i="2"/>
  <c r="AB72" i="2"/>
  <c r="AA72" i="2"/>
  <c r="Y72" i="2"/>
  <c r="X72" i="2"/>
  <c r="V72" i="2"/>
  <c r="U72" i="2"/>
  <c r="S72" i="2"/>
  <c r="R72" i="2"/>
  <c r="P72" i="2"/>
  <c r="O72" i="2"/>
  <c r="M72" i="2"/>
  <c r="L72" i="2"/>
  <c r="J72" i="2"/>
  <c r="I72" i="2"/>
  <c r="AQ71" i="2"/>
  <c r="AP71" i="2"/>
  <c r="AN71" i="2"/>
  <c r="AM71" i="2"/>
  <c r="AK71" i="2"/>
  <c r="AJ71" i="2"/>
  <c r="AH71" i="2"/>
  <c r="AG71" i="2"/>
  <c r="AE71" i="2"/>
  <c r="AD71" i="2"/>
  <c r="AB71" i="2"/>
  <c r="AA71" i="2"/>
  <c r="Y71" i="2"/>
  <c r="X71" i="2"/>
  <c r="V71" i="2"/>
  <c r="U71" i="2"/>
  <c r="S71" i="2"/>
  <c r="R71" i="2"/>
  <c r="P71" i="2"/>
  <c r="O71" i="2"/>
  <c r="M71" i="2"/>
  <c r="L71" i="2"/>
  <c r="J71" i="2"/>
  <c r="I71" i="2"/>
  <c r="AO66" i="2"/>
  <c r="AL66" i="2"/>
  <c r="AI66" i="2"/>
  <c r="AF66" i="2"/>
  <c r="AC66" i="2"/>
  <c r="Z66" i="2"/>
  <c r="W66" i="2"/>
  <c r="T66" i="2"/>
  <c r="Q66" i="2"/>
  <c r="N66" i="2"/>
  <c r="K66" i="2"/>
  <c r="H66" i="2"/>
  <c r="AO65" i="2"/>
  <c r="AO79" i="2" s="1"/>
  <c r="AL65" i="2"/>
  <c r="AL79" i="2" s="1"/>
  <c r="AI65" i="2"/>
  <c r="AI79" i="2" s="1"/>
  <c r="AF65" i="2"/>
  <c r="AF79" i="2" s="1"/>
  <c r="AC65" i="2"/>
  <c r="AC79" i="2" s="1"/>
  <c r="Z65" i="2"/>
  <c r="Z79" i="2" s="1"/>
  <c r="W65" i="2"/>
  <c r="W79" i="2" s="1"/>
  <c r="T65" i="2"/>
  <c r="T79" i="2" s="1"/>
  <c r="Q65" i="2"/>
  <c r="Q79" i="2" s="1"/>
  <c r="N65" i="2"/>
  <c r="N79" i="2" s="1"/>
  <c r="K65" i="2"/>
  <c r="K79" i="2" s="1"/>
  <c r="H65" i="2"/>
  <c r="H79" i="2" s="1"/>
  <c r="AO60" i="2"/>
  <c r="AO72" i="2" s="1"/>
  <c r="AL60" i="2"/>
  <c r="AL72" i="2" s="1"/>
  <c r="AI60" i="2"/>
  <c r="AI72" i="2" s="1"/>
  <c r="AF60" i="2"/>
  <c r="AF72" i="2" s="1"/>
  <c r="AC60" i="2"/>
  <c r="AC72" i="2" s="1"/>
  <c r="Z60" i="2"/>
  <c r="Z72" i="2" s="1"/>
  <c r="W60" i="2"/>
  <c r="W72" i="2" s="1"/>
  <c r="T60" i="2"/>
  <c r="T72" i="2" s="1"/>
  <c r="Q60" i="2"/>
  <c r="Q72" i="2" s="1"/>
  <c r="N60" i="2"/>
  <c r="N72" i="2" s="1"/>
  <c r="K60" i="2"/>
  <c r="K72" i="2" s="1"/>
  <c r="H60" i="2"/>
  <c r="H72" i="2" s="1"/>
  <c r="AO59" i="2"/>
  <c r="AO71" i="2" s="1"/>
  <c r="AL59" i="2"/>
  <c r="AL71" i="2" s="1"/>
  <c r="AI59" i="2"/>
  <c r="AI71" i="2" s="1"/>
  <c r="AF59" i="2"/>
  <c r="AF71" i="2" s="1"/>
  <c r="AC59" i="2"/>
  <c r="AC71" i="2" s="1"/>
  <c r="Z59" i="2"/>
  <c r="Z71" i="2" s="1"/>
  <c r="W59" i="2"/>
  <c r="W71" i="2" s="1"/>
  <c r="T59" i="2"/>
  <c r="T71" i="2" s="1"/>
  <c r="Q59" i="2"/>
  <c r="Q71" i="2" s="1"/>
  <c r="N59" i="2"/>
  <c r="N71" i="2" s="1"/>
  <c r="K59" i="2"/>
  <c r="K71" i="2" s="1"/>
  <c r="H59" i="2"/>
  <c r="H71" i="2" s="1"/>
  <c r="AQ50" i="2"/>
  <c r="AO50" i="2"/>
  <c r="AN50" i="2"/>
  <c r="AL50" i="2"/>
  <c r="AK50" i="2"/>
  <c r="AI50" i="2"/>
  <c r="AH50" i="2"/>
  <c r="AF50" i="2"/>
  <c r="AE50" i="2"/>
  <c r="AC50" i="2"/>
  <c r="AB50" i="2"/>
  <c r="Z50" i="2"/>
  <c r="Y50" i="2"/>
  <c r="W50" i="2"/>
  <c r="V50" i="2"/>
  <c r="T50" i="2"/>
  <c r="S50" i="2"/>
  <c r="Q50" i="2"/>
  <c r="P50" i="2"/>
  <c r="N50" i="2"/>
  <c r="M50" i="2"/>
  <c r="K50" i="2"/>
  <c r="J50" i="2"/>
  <c r="H50" i="2"/>
  <c r="AQ47" i="2"/>
  <c r="AO47" i="2"/>
  <c r="AN47" i="2"/>
  <c r="AL47" i="2"/>
  <c r="AK47" i="2"/>
  <c r="AI47" i="2"/>
  <c r="AH47" i="2"/>
  <c r="AF47" i="2"/>
  <c r="AE47" i="2"/>
  <c r="AC47" i="2"/>
  <c r="AB47" i="2"/>
  <c r="Z47" i="2"/>
  <c r="Y47" i="2"/>
  <c r="W47" i="2"/>
  <c r="V47" i="2"/>
  <c r="T47" i="2"/>
  <c r="S47" i="2"/>
  <c r="Q47" i="2"/>
  <c r="P47" i="2"/>
  <c r="N47" i="2"/>
  <c r="M47" i="2"/>
  <c r="K47" i="2"/>
  <c r="J47" i="2"/>
  <c r="H47" i="2"/>
  <c r="AQ46" i="2"/>
  <c r="AO46" i="2"/>
  <c r="AN46" i="2"/>
  <c r="AL46" i="2"/>
  <c r="AK46" i="2"/>
  <c r="AI46" i="2"/>
  <c r="AH46" i="2"/>
  <c r="AF46" i="2"/>
  <c r="AE46" i="2"/>
  <c r="AC46" i="2"/>
  <c r="AB46" i="2"/>
  <c r="Z46" i="2"/>
  <c r="Y46" i="2"/>
  <c r="W46" i="2"/>
  <c r="V46" i="2"/>
  <c r="T46" i="2"/>
  <c r="S46" i="2"/>
  <c r="Q46" i="2"/>
  <c r="P46" i="2"/>
  <c r="N46" i="2"/>
  <c r="M46" i="2"/>
  <c r="K46" i="2"/>
  <c r="J46" i="2"/>
  <c r="H46" i="2"/>
  <c r="AQ45" i="2"/>
  <c r="AQ52" i="2" s="1"/>
  <c r="AP53" i="2" s="1"/>
  <c r="AO45" i="2"/>
  <c r="AO52" i="2" s="1"/>
  <c r="AN45" i="2"/>
  <c r="AN52" i="2" s="1"/>
  <c r="AM53" i="2" s="1"/>
  <c r="AL45" i="2"/>
  <c r="AL52" i="2" s="1"/>
  <c r="AK45" i="2"/>
  <c r="AK52" i="2" s="1"/>
  <c r="AJ53" i="2" s="1"/>
  <c r="AI45" i="2"/>
  <c r="AI52" i="2" s="1"/>
  <c r="AH45" i="2"/>
  <c r="AH52" i="2" s="1"/>
  <c r="AG53" i="2" s="1"/>
  <c r="AF45" i="2"/>
  <c r="AF52" i="2" s="1"/>
  <c r="AE45" i="2"/>
  <c r="AE52" i="2" s="1"/>
  <c r="AD53" i="2" s="1"/>
  <c r="AC45" i="2"/>
  <c r="AC52" i="2" s="1"/>
  <c r="AB45" i="2"/>
  <c r="AB52" i="2" s="1"/>
  <c r="AA53" i="2" s="1"/>
  <c r="Z45" i="2"/>
  <c r="Z52" i="2" s="1"/>
  <c r="Y45" i="2"/>
  <c r="Y52" i="2" s="1"/>
  <c r="X53" i="2" s="1"/>
  <c r="W45" i="2"/>
  <c r="W52" i="2" s="1"/>
  <c r="V45" i="2"/>
  <c r="V52" i="2" s="1"/>
  <c r="U53" i="2" s="1"/>
  <c r="T45" i="2"/>
  <c r="T52" i="2" s="1"/>
  <c r="S45" i="2"/>
  <c r="S52" i="2" s="1"/>
  <c r="R53" i="2" s="1"/>
  <c r="Q45" i="2"/>
  <c r="Q52" i="2" s="1"/>
  <c r="P45" i="2"/>
  <c r="P52" i="2" s="1"/>
  <c r="O53" i="2" s="1"/>
  <c r="N45" i="2"/>
  <c r="N52" i="2" s="1"/>
  <c r="M45" i="2"/>
  <c r="M52" i="2" s="1"/>
  <c r="L53" i="2" s="1"/>
  <c r="K45" i="2"/>
  <c r="K52" i="2" s="1"/>
  <c r="J45" i="2"/>
  <c r="J52" i="2" s="1"/>
  <c r="I53" i="2" s="1"/>
  <c r="H45" i="2"/>
  <c r="H52" i="2" s="1"/>
  <c r="AQ42" i="2"/>
  <c r="AO42" i="2"/>
  <c r="AN42" i="2"/>
  <c r="AL42" i="2"/>
  <c r="AK42" i="2"/>
  <c r="AI42" i="2"/>
  <c r="AH42" i="2"/>
  <c r="AF42" i="2"/>
  <c r="AE42" i="2"/>
  <c r="AC42" i="2"/>
  <c r="AB42" i="2"/>
  <c r="Z42" i="2"/>
  <c r="Y42" i="2"/>
  <c r="W42" i="2"/>
  <c r="V42" i="2"/>
  <c r="T42" i="2"/>
  <c r="S42" i="2"/>
  <c r="Q42" i="2"/>
  <c r="P42" i="2"/>
  <c r="N42" i="2"/>
  <c r="M42" i="2"/>
  <c r="K42" i="2"/>
  <c r="J42" i="2"/>
  <c r="H42" i="2"/>
  <c r="AQ41" i="2"/>
  <c r="AO41" i="2"/>
  <c r="AN41" i="2"/>
  <c r="AL41" i="2"/>
  <c r="AK41" i="2"/>
  <c r="AI41" i="2"/>
  <c r="AH41" i="2"/>
  <c r="AF41" i="2"/>
  <c r="AE41" i="2"/>
  <c r="AC41" i="2"/>
  <c r="AB41" i="2"/>
  <c r="Z41" i="2"/>
  <c r="Y41" i="2"/>
  <c r="W41" i="2"/>
  <c r="V41" i="2"/>
  <c r="T41" i="2"/>
  <c r="S41" i="2"/>
  <c r="Q41" i="2"/>
  <c r="P41" i="2"/>
  <c r="N41" i="2"/>
  <c r="M41" i="2"/>
  <c r="K41" i="2"/>
  <c r="J41" i="2"/>
  <c r="H41" i="2"/>
  <c r="AQ37" i="2"/>
  <c r="AP37" i="2"/>
  <c r="AN37" i="2"/>
  <c r="AM37" i="2"/>
  <c r="AK37" i="2"/>
  <c r="AJ37" i="2"/>
  <c r="AH37" i="2"/>
  <c r="AG37" i="2"/>
  <c r="AE37" i="2"/>
  <c r="AD37" i="2"/>
  <c r="AB37" i="2"/>
  <c r="AA37" i="2"/>
  <c r="Y37" i="2"/>
  <c r="X37" i="2"/>
  <c r="V37" i="2"/>
  <c r="U37" i="2"/>
  <c r="S37" i="2"/>
  <c r="R37" i="2"/>
  <c r="P37" i="2"/>
  <c r="O37" i="2"/>
  <c r="M37" i="2"/>
  <c r="L37" i="2"/>
  <c r="J37" i="2"/>
  <c r="I37" i="2"/>
  <c r="AQ36" i="2"/>
  <c r="AQ38" i="2" s="1"/>
  <c r="AP36" i="2"/>
  <c r="AP38" i="2" s="1"/>
  <c r="AN36" i="2"/>
  <c r="AN38" i="2" s="1"/>
  <c r="AM36" i="2"/>
  <c r="AM38" i="2" s="1"/>
  <c r="AK36" i="2"/>
  <c r="AK38" i="2" s="1"/>
  <c r="AJ36" i="2"/>
  <c r="AJ38" i="2" s="1"/>
  <c r="AH36" i="2"/>
  <c r="AH38" i="2" s="1"/>
  <c r="AG36" i="2"/>
  <c r="AG38" i="2" s="1"/>
  <c r="AE36" i="2"/>
  <c r="AE38" i="2" s="1"/>
  <c r="AD36" i="2"/>
  <c r="AD38" i="2" s="1"/>
  <c r="AB36" i="2"/>
  <c r="AB38" i="2" s="1"/>
  <c r="AA36" i="2"/>
  <c r="AA38" i="2" s="1"/>
  <c r="Y36" i="2"/>
  <c r="Y38" i="2" s="1"/>
  <c r="X36" i="2"/>
  <c r="X38" i="2" s="1"/>
  <c r="V36" i="2"/>
  <c r="V38" i="2" s="1"/>
  <c r="U36" i="2"/>
  <c r="U38" i="2" s="1"/>
  <c r="S36" i="2"/>
  <c r="S38" i="2" s="1"/>
  <c r="R36" i="2"/>
  <c r="R38" i="2" s="1"/>
  <c r="P36" i="2"/>
  <c r="P38" i="2" s="1"/>
  <c r="O36" i="2"/>
  <c r="O38" i="2" s="1"/>
  <c r="M36" i="2"/>
  <c r="M38" i="2" s="1"/>
  <c r="L36" i="2"/>
  <c r="L38" i="2" s="1"/>
  <c r="J36" i="2"/>
  <c r="J38" i="2" s="1"/>
  <c r="I36" i="2"/>
  <c r="I38" i="2" s="1"/>
  <c r="AO35" i="2"/>
  <c r="AL35" i="2"/>
  <c r="AI35" i="2"/>
  <c r="AF35" i="2"/>
  <c r="AC35" i="2"/>
  <c r="Z35" i="2"/>
  <c r="W35" i="2"/>
  <c r="T35" i="2"/>
  <c r="Q35" i="2"/>
  <c r="N35" i="2"/>
  <c r="K35" i="2"/>
  <c r="H35" i="2"/>
  <c r="AO34" i="2"/>
  <c r="AL34" i="2"/>
  <c r="AI34" i="2"/>
  <c r="AF34" i="2"/>
  <c r="AC34" i="2"/>
  <c r="Z34" i="2"/>
  <c r="W34" i="2"/>
  <c r="T34" i="2"/>
  <c r="Q34" i="2"/>
  <c r="N34" i="2"/>
  <c r="K34" i="2"/>
  <c r="H34" i="2"/>
  <c r="AO33" i="2"/>
  <c r="AO37" i="2" s="1"/>
  <c r="AL33" i="2"/>
  <c r="AI33" i="2"/>
  <c r="AI37" i="2" s="1"/>
  <c r="AF33" i="2"/>
  <c r="AC33" i="2"/>
  <c r="AC37" i="2" s="1"/>
  <c r="Z33" i="2"/>
  <c r="W33" i="2"/>
  <c r="W37" i="2" s="1"/>
  <c r="T33" i="2"/>
  <c r="Q33" i="2"/>
  <c r="Q37" i="2" s="1"/>
  <c r="N33" i="2"/>
  <c r="K33" i="2"/>
  <c r="K37" i="2" s="1"/>
  <c r="H33" i="2"/>
  <c r="AO32" i="2"/>
  <c r="AL32" i="2"/>
  <c r="AI32" i="2"/>
  <c r="AF32" i="2"/>
  <c r="AC32" i="2"/>
  <c r="Z32" i="2"/>
  <c r="W32" i="2"/>
  <c r="T32" i="2"/>
  <c r="Q32" i="2"/>
  <c r="N32" i="2"/>
  <c r="K32" i="2"/>
  <c r="H32" i="2"/>
  <c r="AO31" i="2"/>
  <c r="AL31" i="2"/>
  <c r="AI31" i="2"/>
  <c r="AF31" i="2"/>
  <c r="AC31" i="2"/>
  <c r="Z31" i="2"/>
  <c r="W31" i="2"/>
  <c r="T31" i="2"/>
  <c r="Q31" i="2"/>
  <c r="N31" i="2"/>
  <c r="K31" i="2"/>
  <c r="H31" i="2"/>
  <c r="AO30" i="2"/>
  <c r="AL30" i="2"/>
  <c r="AI30" i="2"/>
  <c r="AF30" i="2"/>
  <c r="AC30" i="2"/>
  <c r="Z30" i="2"/>
  <c r="W30" i="2"/>
  <c r="T30" i="2"/>
  <c r="Q30" i="2"/>
  <c r="N30" i="2"/>
  <c r="K30" i="2"/>
  <c r="H30" i="2"/>
  <c r="AO28" i="2"/>
  <c r="AO36" i="2" s="1"/>
  <c r="AO38" i="2" s="1"/>
  <c r="AL28" i="2"/>
  <c r="AL36" i="2" s="1"/>
  <c r="AI28" i="2"/>
  <c r="AI36" i="2" s="1"/>
  <c r="AI38" i="2" s="1"/>
  <c r="AF28" i="2"/>
  <c r="AF36" i="2" s="1"/>
  <c r="AC28" i="2"/>
  <c r="AC36" i="2" s="1"/>
  <c r="AC38" i="2" s="1"/>
  <c r="Z28" i="2"/>
  <c r="Z36" i="2" s="1"/>
  <c r="W28" i="2"/>
  <c r="W36" i="2" s="1"/>
  <c r="W38" i="2" s="1"/>
  <c r="T28" i="2"/>
  <c r="T36" i="2" s="1"/>
  <c r="Q28" i="2"/>
  <c r="Q36" i="2" s="1"/>
  <c r="Q38" i="2" s="1"/>
  <c r="N28" i="2"/>
  <c r="N36" i="2" s="1"/>
  <c r="K28" i="2"/>
  <c r="K36" i="2" s="1"/>
  <c r="K38" i="2" s="1"/>
  <c r="H28" i="2"/>
  <c r="H36" i="2" s="1"/>
  <c r="E24" i="2"/>
  <c r="AQ22" i="2"/>
  <c r="AP22" i="2"/>
  <c r="AN22" i="2"/>
  <c r="AM22" i="2"/>
  <c r="AK22" i="2"/>
  <c r="AJ22" i="2"/>
  <c r="AH22" i="2"/>
  <c r="AG22" i="2"/>
  <c r="AE22" i="2"/>
  <c r="AD22" i="2"/>
  <c r="AB22" i="2"/>
  <c r="AA22" i="2"/>
  <c r="Y22" i="2"/>
  <c r="X22" i="2"/>
  <c r="V22" i="2"/>
  <c r="U22" i="2"/>
  <c r="S22" i="2"/>
  <c r="R22" i="2"/>
  <c r="P22" i="2"/>
  <c r="O22" i="2"/>
  <c r="M22" i="2"/>
  <c r="L22" i="2"/>
  <c r="J22" i="2"/>
  <c r="I22" i="2"/>
  <c r="AQ21" i="2"/>
  <c r="AP21" i="2"/>
  <c r="AN21" i="2"/>
  <c r="AM21" i="2"/>
  <c r="AK21" i="2"/>
  <c r="AJ21" i="2"/>
  <c r="AH21" i="2"/>
  <c r="AG21" i="2"/>
  <c r="AE21" i="2"/>
  <c r="AD21" i="2"/>
  <c r="AB21" i="2"/>
  <c r="AA21" i="2"/>
  <c r="Y21" i="2"/>
  <c r="X21" i="2"/>
  <c r="V21" i="2"/>
  <c r="U21" i="2"/>
  <c r="S21" i="2"/>
  <c r="R21" i="2"/>
  <c r="P21" i="2"/>
  <c r="O21" i="2"/>
  <c r="M21" i="2"/>
  <c r="E23" i="2" s="1"/>
  <c r="L21" i="2"/>
  <c r="J21" i="2"/>
  <c r="I21" i="2"/>
  <c r="AO16" i="2"/>
  <c r="AL16" i="2"/>
  <c r="AI16" i="2"/>
  <c r="AF16" i="2"/>
  <c r="AC16" i="2"/>
  <c r="Z16" i="2"/>
  <c r="W16" i="2"/>
  <c r="T16" i="2"/>
  <c r="Q16" i="2"/>
  <c r="N16" i="2"/>
  <c r="K16" i="2"/>
  <c r="H16" i="2"/>
  <c r="AO15" i="2"/>
  <c r="AO29" i="2" s="1"/>
  <c r="AL15" i="2"/>
  <c r="AL29" i="2" s="1"/>
  <c r="AI15" i="2"/>
  <c r="AI29" i="2" s="1"/>
  <c r="AF15" i="2"/>
  <c r="AF29" i="2" s="1"/>
  <c r="AC15" i="2"/>
  <c r="AC29" i="2" s="1"/>
  <c r="Z15" i="2"/>
  <c r="Z29" i="2" s="1"/>
  <c r="W15" i="2"/>
  <c r="W29" i="2" s="1"/>
  <c r="T15" i="2"/>
  <c r="T29" i="2" s="1"/>
  <c r="Q15" i="2"/>
  <c r="Q29" i="2" s="1"/>
  <c r="N15" i="2"/>
  <c r="N29" i="2" s="1"/>
  <c r="K15" i="2"/>
  <c r="K29" i="2" s="1"/>
  <c r="H15" i="2"/>
  <c r="H29" i="2" s="1"/>
  <c r="AO10" i="2"/>
  <c r="AO22" i="2" s="1"/>
  <c r="AL10" i="2"/>
  <c r="AL22" i="2" s="1"/>
  <c r="AI10" i="2"/>
  <c r="AI22" i="2" s="1"/>
  <c r="AF10" i="2"/>
  <c r="AF22" i="2" s="1"/>
  <c r="AC10" i="2"/>
  <c r="AC22" i="2" s="1"/>
  <c r="Z10" i="2"/>
  <c r="Z22" i="2" s="1"/>
  <c r="W10" i="2"/>
  <c r="W22" i="2" s="1"/>
  <c r="T10" i="2"/>
  <c r="T22" i="2" s="1"/>
  <c r="Q10" i="2"/>
  <c r="Q22" i="2" s="1"/>
  <c r="N10" i="2"/>
  <c r="N22" i="2" s="1"/>
  <c r="K10" i="2"/>
  <c r="K22" i="2" s="1"/>
  <c r="H10" i="2"/>
  <c r="H22" i="2" s="1"/>
  <c r="AO9" i="2"/>
  <c r="AO21" i="2" s="1"/>
  <c r="AL9" i="2"/>
  <c r="AL21" i="2" s="1"/>
  <c r="AI9" i="2"/>
  <c r="AI21" i="2" s="1"/>
  <c r="AF9" i="2"/>
  <c r="AF21" i="2" s="1"/>
  <c r="AC9" i="2"/>
  <c r="AC21" i="2" s="1"/>
  <c r="Z9" i="2"/>
  <c r="Z21" i="2" s="1"/>
  <c r="W9" i="2"/>
  <c r="W21" i="2" s="1"/>
  <c r="T9" i="2"/>
  <c r="T21" i="2" s="1"/>
  <c r="Q9" i="2"/>
  <c r="Q21" i="2" s="1"/>
  <c r="N9" i="2"/>
  <c r="N21" i="2" s="1"/>
  <c r="K9" i="2"/>
  <c r="K21" i="2" s="1"/>
  <c r="H9" i="2"/>
  <c r="H21" i="2" s="1"/>
  <c r="AI56" i="11" l="1"/>
  <c r="AI57" i="11" s="1"/>
  <c r="AC107" i="11"/>
  <c r="W126" i="11"/>
  <c r="N25" i="11"/>
  <c r="Z25" i="11"/>
  <c r="AL25" i="11"/>
  <c r="N26" i="11"/>
  <c r="Z26" i="11"/>
  <c r="AL26" i="11"/>
  <c r="N27" i="11"/>
  <c r="Z27" i="11"/>
  <c r="AL27" i="11"/>
  <c r="E30" i="11"/>
  <c r="AC38" i="11"/>
  <c r="AE57" i="11"/>
  <c r="K94" i="11"/>
  <c r="W94" i="11"/>
  <c r="AI94" i="11"/>
  <c r="K95" i="11"/>
  <c r="W95" i="11"/>
  <c r="AI95" i="11"/>
  <c r="K96" i="11"/>
  <c r="W96" i="11"/>
  <c r="AI96" i="11"/>
  <c r="AO126" i="11"/>
  <c r="K56" i="11"/>
  <c r="K57" i="11" s="1"/>
  <c r="W56" i="11"/>
  <c r="W57" i="11" s="1"/>
  <c r="B28" i="11"/>
  <c r="E29" i="11"/>
  <c r="K125" i="11"/>
  <c r="K126" i="11" s="1"/>
  <c r="W125" i="11"/>
  <c r="AI125" i="11"/>
  <c r="AI126" i="11" s="1"/>
  <c r="K25" i="11"/>
  <c r="W25" i="11"/>
  <c r="AI25" i="11"/>
  <c r="K26" i="11"/>
  <c r="W26" i="11"/>
  <c r="AI26" i="11"/>
  <c r="K27" i="11"/>
  <c r="W27" i="11"/>
  <c r="AI27" i="11"/>
  <c r="AQ38" i="11"/>
  <c r="AO57" i="11"/>
  <c r="S107" i="11"/>
  <c r="AC126" i="11"/>
  <c r="I72" i="11"/>
  <c r="AG72" i="11"/>
  <c r="U72" i="11"/>
  <c r="I141" i="11"/>
  <c r="U141" i="11"/>
  <c r="AG141" i="11"/>
  <c r="AC88" i="2"/>
  <c r="AO88" i="2"/>
  <c r="Q87" i="2"/>
  <c r="Q88" i="2" s="1"/>
  <c r="AC87" i="2"/>
  <c r="AO87" i="2"/>
  <c r="B23" i="2"/>
  <c r="AL38" i="2"/>
  <c r="H37" i="2"/>
  <c r="T37" i="2"/>
  <c r="AF37" i="2"/>
  <c r="H88" i="2"/>
  <c r="T88" i="2"/>
  <c r="H87" i="2"/>
  <c r="T87" i="2"/>
  <c r="AF87" i="2"/>
  <c r="AF88" i="2" s="1"/>
  <c r="AI88" i="2"/>
  <c r="K87" i="2"/>
  <c r="K88" i="2" s="1"/>
  <c r="W87" i="2"/>
  <c r="W88" i="2" s="1"/>
  <c r="AI87" i="2"/>
  <c r="B24" i="2"/>
  <c r="H38" i="2"/>
  <c r="T38" i="2"/>
  <c r="AF38" i="2"/>
  <c r="N37" i="2"/>
  <c r="N38" i="2" s="1"/>
  <c r="Z37" i="2"/>
  <c r="Z38" i="2" s="1"/>
  <c r="AL37" i="2"/>
  <c r="Z88" i="2"/>
  <c r="AL88" i="2"/>
  <c r="N87" i="2"/>
  <c r="N88" i="2" s="1"/>
  <c r="Z87" i="2"/>
  <c r="AL87" i="2"/>
  <c r="CB56" i="10"/>
  <c r="CA56" i="10"/>
  <c r="CB55" i="10"/>
  <c r="CA55" i="10"/>
  <c r="CB53" i="10"/>
  <c r="CA53" i="10"/>
  <c r="BY56" i="10"/>
  <c r="BX56" i="10"/>
  <c r="BY55" i="10"/>
  <c r="BX55" i="10"/>
  <c r="BY53" i="10"/>
  <c r="BX53" i="10"/>
  <c r="BV56" i="10"/>
  <c r="BU56" i="10"/>
  <c r="BV55" i="10"/>
  <c r="BU55" i="10"/>
  <c r="BV53" i="10"/>
  <c r="BU53" i="10"/>
  <c r="BS56" i="10"/>
  <c r="BR56" i="10"/>
  <c r="BS55" i="10"/>
  <c r="BR55" i="10"/>
  <c r="BS53" i="10"/>
  <c r="BR53" i="10"/>
  <c r="BP56" i="10"/>
  <c r="BO56" i="10"/>
  <c r="BP55" i="10"/>
  <c r="BO55" i="10"/>
  <c r="BP53" i="10"/>
  <c r="BO53" i="10"/>
  <c r="BM56" i="10"/>
  <c r="BL56" i="10"/>
  <c r="BM55" i="10"/>
  <c r="BL55" i="10"/>
  <c r="BM53" i="10"/>
  <c r="BL53" i="10"/>
  <c r="BJ56" i="10"/>
  <c r="BI56" i="10"/>
  <c r="BJ55" i="10"/>
  <c r="BI55" i="10"/>
  <c r="BJ53" i="10"/>
  <c r="BI53" i="10"/>
  <c r="BG56" i="10"/>
  <c r="BF56" i="10"/>
  <c r="BG55" i="10"/>
  <c r="BF55" i="10"/>
  <c r="BG53" i="10"/>
  <c r="BF53" i="10"/>
  <c r="AF56" i="10"/>
  <c r="AE56" i="10"/>
  <c r="AF55" i="10"/>
  <c r="AE55" i="10"/>
  <c r="AI56" i="10"/>
  <c r="AH56" i="10"/>
  <c r="AI55" i="10"/>
  <c r="AH55" i="10"/>
  <c r="AL56" i="10"/>
  <c r="AK56" i="10"/>
  <c r="AL55" i="10"/>
  <c r="AK55" i="10"/>
  <c r="AO56" i="10"/>
  <c r="AN56" i="10"/>
  <c r="AO55" i="10"/>
  <c r="AN55" i="10"/>
  <c r="AR56" i="10"/>
  <c r="AQ56" i="10"/>
  <c r="AR55" i="10"/>
  <c r="AQ55" i="10"/>
  <c r="AU56" i="10"/>
  <c r="AT56" i="10"/>
  <c r="AU55" i="10"/>
  <c r="AT55" i="10"/>
  <c r="BD56" i="10"/>
  <c r="BC56" i="10"/>
  <c r="BD55" i="10"/>
  <c r="BC55" i="10"/>
  <c r="BD53" i="10"/>
  <c r="BC53" i="10"/>
  <c r="BA56" i="10"/>
  <c r="AZ56" i="10"/>
  <c r="BA55" i="10"/>
  <c r="AZ55" i="10"/>
  <c r="BA53" i="10"/>
  <c r="AZ53" i="10"/>
  <c r="AX56" i="10"/>
  <c r="AW56" i="10"/>
  <c r="AX55" i="10"/>
  <c r="AW55" i="10"/>
  <c r="AX53" i="10"/>
  <c r="AW53" i="10"/>
  <c r="AU53" i="10"/>
  <c r="AT53" i="10"/>
  <c r="AR53" i="10"/>
  <c r="AQ53" i="10"/>
  <c r="AO53" i="10"/>
  <c r="AN53" i="10"/>
  <c r="AL53" i="10"/>
  <c r="AK53" i="10"/>
  <c r="AI53" i="10"/>
  <c r="AH53" i="10"/>
  <c r="AF53" i="10"/>
  <c r="AE53" i="10"/>
  <c r="AC56" i="10"/>
  <c r="AB56" i="10"/>
  <c r="AC55" i="10"/>
  <c r="AB55" i="10"/>
  <c r="AC53" i="10"/>
  <c r="AB53" i="10"/>
  <c r="Z56" i="10"/>
  <c r="Y56" i="10"/>
  <c r="Z55" i="10"/>
  <c r="Y55" i="10"/>
  <c r="Z53" i="10"/>
  <c r="Y53" i="10"/>
  <c r="W56" i="10"/>
  <c r="V56" i="10"/>
  <c r="W55" i="10"/>
  <c r="V55" i="10"/>
  <c r="W53" i="10"/>
  <c r="V53" i="10"/>
  <c r="T56" i="10"/>
  <c r="S56" i="10"/>
  <c r="T55" i="10"/>
  <c r="S55" i="10"/>
  <c r="T53" i="10"/>
  <c r="S53" i="10"/>
  <c r="Q56" i="10"/>
  <c r="P56" i="10"/>
  <c r="Q55" i="10"/>
  <c r="P55" i="10"/>
  <c r="Q53" i="10"/>
  <c r="P53" i="10"/>
  <c r="N56" i="10"/>
  <c r="M56" i="10"/>
  <c r="N55" i="10"/>
  <c r="M55" i="10"/>
  <c r="N53" i="10"/>
  <c r="M53" i="10"/>
  <c r="K56" i="10"/>
  <c r="J56" i="10"/>
  <c r="K55" i="10"/>
  <c r="J55" i="10"/>
  <c r="K53" i="10"/>
  <c r="J53" i="10"/>
  <c r="CB51" i="10"/>
  <c r="CA51" i="10"/>
  <c r="CB50" i="10"/>
  <c r="CA50" i="10"/>
  <c r="CB49" i="10"/>
  <c r="CA49" i="10"/>
  <c r="BY51" i="10"/>
  <c r="BX51" i="10"/>
  <c r="BY50" i="10"/>
  <c r="BX50" i="10"/>
  <c r="BY49" i="10"/>
  <c r="BX49" i="10"/>
  <c r="BV51" i="10"/>
  <c r="BU51" i="10"/>
  <c r="BV50" i="10"/>
  <c r="BU50" i="10"/>
  <c r="BV49" i="10"/>
  <c r="BU49" i="10"/>
  <c r="BS51" i="10"/>
  <c r="BR51" i="10"/>
  <c r="BS50" i="10"/>
  <c r="BR50" i="10"/>
  <c r="BS49" i="10"/>
  <c r="BR49" i="10"/>
  <c r="BG51" i="10"/>
  <c r="BF51" i="10"/>
  <c r="BG50" i="10"/>
  <c r="BF50" i="10"/>
  <c r="BG49" i="10"/>
  <c r="BF49" i="10"/>
  <c r="BD51" i="10"/>
  <c r="BC51" i="10"/>
  <c r="BD50" i="10"/>
  <c r="BC50" i="10"/>
  <c r="BD49" i="10"/>
  <c r="BC49" i="10"/>
  <c r="BP51" i="10"/>
  <c r="BO51" i="10"/>
  <c r="BP50" i="10"/>
  <c r="BO50" i="10"/>
  <c r="BP49" i="10"/>
  <c r="BO49" i="10"/>
  <c r="BM51" i="10"/>
  <c r="BL51" i="10"/>
  <c r="BM50" i="10"/>
  <c r="BL50" i="10"/>
  <c r="BM49" i="10"/>
  <c r="BL49" i="10"/>
  <c r="BJ51" i="10"/>
  <c r="BI51" i="10"/>
  <c r="BJ50" i="10"/>
  <c r="BI50" i="10"/>
  <c r="BJ49" i="10"/>
  <c r="BI49" i="10"/>
  <c r="BA51" i="10"/>
  <c r="AZ51" i="10"/>
  <c r="BA50" i="10"/>
  <c r="AZ50" i="10"/>
  <c r="BA49" i="10"/>
  <c r="AZ49" i="10"/>
  <c r="AX51" i="10"/>
  <c r="AW51" i="10"/>
  <c r="AX50" i="10"/>
  <c r="AW50" i="10"/>
  <c r="AX49" i="10"/>
  <c r="AW49" i="10"/>
  <c r="AU51" i="10"/>
  <c r="AT51" i="10"/>
  <c r="AU50" i="10"/>
  <c r="AT50" i="10"/>
  <c r="AU49" i="10"/>
  <c r="AT49" i="10"/>
  <c r="AR51" i="10"/>
  <c r="AQ51" i="10"/>
  <c r="AR50" i="10"/>
  <c r="AQ50" i="10"/>
  <c r="AR49" i="10"/>
  <c r="AQ49" i="10"/>
  <c r="AO51" i="10"/>
  <c r="AN51" i="10"/>
  <c r="AO50" i="10"/>
  <c r="AN50" i="10"/>
  <c r="AO49" i="10"/>
  <c r="AN49" i="10"/>
  <c r="AL51" i="10"/>
  <c r="AK51" i="10"/>
  <c r="AL50" i="10"/>
  <c r="AK50" i="10"/>
  <c r="AL49" i="10"/>
  <c r="AK49" i="10"/>
  <c r="AI51" i="10"/>
  <c r="AH51" i="10"/>
  <c r="AI50" i="10"/>
  <c r="AH50" i="10"/>
  <c r="AI49" i="10"/>
  <c r="AH49" i="10"/>
  <c r="AF51" i="10"/>
  <c r="AE51" i="10"/>
  <c r="AF50" i="10"/>
  <c r="AE50" i="10"/>
  <c r="AF49" i="10"/>
  <c r="AE49" i="10"/>
  <c r="AC51" i="10"/>
  <c r="AB51" i="10"/>
  <c r="AC50" i="10"/>
  <c r="AB50" i="10"/>
  <c r="AC49" i="10"/>
  <c r="AB49" i="10"/>
  <c r="Z51" i="10"/>
  <c r="Y51" i="10"/>
  <c r="Z50" i="10"/>
  <c r="Y50" i="10"/>
  <c r="Z49" i="10"/>
  <c r="Y49" i="10"/>
  <c r="W51" i="10"/>
  <c r="V51" i="10"/>
  <c r="W50" i="10"/>
  <c r="V50" i="10"/>
  <c r="W49" i="10"/>
  <c r="V49" i="10"/>
  <c r="T51" i="10"/>
  <c r="S51" i="10"/>
  <c r="T50" i="10"/>
  <c r="S50" i="10"/>
  <c r="T49" i="10"/>
  <c r="S49" i="10"/>
  <c r="Q51" i="10"/>
  <c r="P51" i="10"/>
  <c r="Q50" i="10"/>
  <c r="P50" i="10"/>
  <c r="Q49" i="10"/>
  <c r="P49" i="10"/>
  <c r="N51" i="10"/>
  <c r="M51" i="10"/>
  <c r="N50" i="10"/>
  <c r="M50" i="10"/>
  <c r="N49" i="10"/>
  <c r="M49" i="10"/>
  <c r="K51" i="10"/>
  <c r="J51" i="10"/>
  <c r="K50" i="10"/>
  <c r="J50" i="10"/>
  <c r="K49" i="10"/>
  <c r="J49" i="10"/>
  <c r="CB32" i="10"/>
  <c r="CA32" i="10"/>
  <c r="CB26" i="10"/>
  <c r="CA26" i="10"/>
  <c r="CB21" i="10"/>
  <c r="CA21" i="10"/>
  <c r="BZ20" i="10"/>
  <c r="CB20" i="10" s="1"/>
  <c r="CB15" i="10"/>
  <c r="CA15" i="10"/>
  <c r="BZ14" i="10"/>
  <c r="CB14" i="10" s="1"/>
  <c r="BY32" i="10"/>
  <c r="BX32" i="10"/>
  <c r="BY26" i="10"/>
  <c r="BX26" i="10"/>
  <c r="BY21" i="10"/>
  <c r="BX21" i="10"/>
  <c r="BW20" i="10"/>
  <c r="BY20" i="10" s="1"/>
  <c r="BY15" i="10"/>
  <c r="BX15" i="10"/>
  <c r="BW14" i="10"/>
  <c r="BY14" i="10" s="1"/>
  <c r="BV32" i="10"/>
  <c r="BU32" i="10"/>
  <c r="BV26" i="10"/>
  <c r="BU26" i="10"/>
  <c r="BV21" i="10"/>
  <c r="BU21" i="10"/>
  <c r="BT20" i="10"/>
  <c r="BV20" i="10" s="1"/>
  <c r="BV15" i="10"/>
  <c r="BU15" i="10"/>
  <c r="BT14" i="10"/>
  <c r="BU14" i="10" s="1"/>
  <c r="BS32" i="10"/>
  <c r="BR32" i="10"/>
  <c r="BS26" i="10"/>
  <c r="BR26" i="10"/>
  <c r="BS21" i="10"/>
  <c r="BR21" i="10"/>
  <c r="BQ20" i="10"/>
  <c r="BS20" i="10" s="1"/>
  <c r="BS15" i="10"/>
  <c r="BR15" i="10"/>
  <c r="BR14" i="10"/>
  <c r="BQ14" i="10"/>
  <c r="BS14" i="10" s="1"/>
  <c r="BP32" i="10"/>
  <c r="BO32" i="10"/>
  <c r="BP26" i="10"/>
  <c r="BO26" i="10"/>
  <c r="BP21" i="10"/>
  <c r="BO21" i="10"/>
  <c r="BN20" i="10"/>
  <c r="BP20" i="10" s="1"/>
  <c r="BP15" i="10"/>
  <c r="BO15" i="10"/>
  <c r="BN14" i="10"/>
  <c r="BP14" i="10" s="1"/>
  <c r="BM32" i="10"/>
  <c r="BL32" i="10"/>
  <c r="BM26" i="10"/>
  <c r="BL26" i="10"/>
  <c r="BM21" i="10"/>
  <c r="BL21" i="10"/>
  <c r="BK20" i="10"/>
  <c r="BM20" i="10" s="1"/>
  <c r="BM15" i="10"/>
  <c r="BL15" i="10"/>
  <c r="BL14" i="10"/>
  <c r="BK14" i="10"/>
  <c r="BM14" i="10" s="1"/>
  <c r="BJ32" i="10"/>
  <c r="BI32" i="10"/>
  <c r="BJ26" i="10"/>
  <c r="BI26" i="10"/>
  <c r="BJ21" i="10"/>
  <c r="BI21" i="10"/>
  <c r="BH20" i="10"/>
  <c r="BJ20" i="10" s="1"/>
  <c r="BJ15" i="10"/>
  <c r="BI15" i="10"/>
  <c r="BI14" i="10"/>
  <c r="BH14" i="10"/>
  <c r="BJ14" i="10" s="1"/>
  <c r="BG32" i="10"/>
  <c r="BF32" i="10"/>
  <c r="BG26" i="10"/>
  <c r="BF26" i="10"/>
  <c r="BG21" i="10"/>
  <c r="BF21" i="10"/>
  <c r="BE20" i="10"/>
  <c r="BG20" i="10" s="1"/>
  <c r="BG15" i="10"/>
  <c r="BF15" i="10"/>
  <c r="BE14" i="10"/>
  <c r="BF14" i="10" s="1"/>
  <c r="BD32" i="10"/>
  <c r="BC32" i="10"/>
  <c r="BD26" i="10"/>
  <c r="BC26" i="10"/>
  <c r="BD21" i="10"/>
  <c r="BC21" i="10"/>
  <c r="BC20" i="10"/>
  <c r="BB20" i="10"/>
  <c r="BD20" i="10" s="1"/>
  <c r="BD15" i="10"/>
  <c r="BC15" i="10"/>
  <c r="BD14" i="10"/>
  <c r="BC14" i="10"/>
  <c r="BB14" i="10"/>
  <c r="BA32" i="10"/>
  <c r="AZ32" i="10"/>
  <c r="BA26" i="10"/>
  <c r="AZ26" i="10"/>
  <c r="BA21" i="10"/>
  <c r="AZ21" i="10"/>
  <c r="AY20" i="10"/>
  <c r="BA20" i="10" s="1"/>
  <c r="BA15" i="10"/>
  <c r="AZ15" i="10"/>
  <c r="AZ14" i="10"/>
  <c r="AY14" i="10"/>
  <c r="BA14" i="10" s="1"/>
  <c r="AX32" i="10"/>
  <c r="AW32" i="10"/>
  <c r="AX26" i="10"/>
  <c r="AW26" i="10"/>
  <c r="AX21" i="10"/>
  <c r="AW21" i="10"/>
  <c r="AX20" i="10"/>
  <c r="AW20" i="10"/>
  <c r="AV20" i="10"/>
  <c r="AX15" i="10"/>
  <c r="AW15" i="10"/>
  <c r="AV14" i="10"/>
  <c r="AW14" i="10" s="1"/>
  <c r="AU32" i="10"/>
  <c r="AT32" i="10"/>
  <c r="AU26" i="10"/>
  <c r="AT26" i="10"/>
  <c r="AU21" i="10"/>
  <c r="AT21" i="10"/>
  <c r="AS20" i="10"/>
  <c r="AU20" i="10" s="1"/>
  <c r="AU15" i="10"/>
  <c r="AT15" i="10"/>
  <c r="AS14" i="10"/>
  <c r="AT14" i="10" s="1"/>
  <c r="AR32" i="10"/>
  <c r="AQ32" i="10"/>
  <c r="AR26" i="10"/>
  <c r="AQ26" i="10"/>
  <c r="AR21" i="10"/>
  <c r="AQ21" i="10"/>
  <c r="AP20" i="10"/>
  <c r="AR20" i="10" s="1"/>
  <c r="AR15" i="10"/>
  <c r="AQ15" i="10"/>
  <c r="AP14" i="10"/>
  <c r="AR14" i="10" s="1"/>
  <c r="AO32" i="10"/>
  <c r="AN32" i="10"/>
  <c r="AO26" i="10"/>
  <c r="AN26" i="10"/>
  <c r="AO21" i="10"/>
  <c r="AN21" i="10"/>
  <c r="AO20" i="10"/>
  <c r="AN20" i="10"/>
  <c r="AM20" i="10"/>
  <c r="AO15" i="10"/>
  <c r="AN15" i="10"/>
  <c r="AM14" i="10"/>
  <c r="AN14" i="10" s="1"/>
  <c r="AL32" i="10"/>
  <c r="AK32" i="10"/>
  <c r="AL26" i="10"/>
  <c r="AK26" i="10"/>
  <c r="AL21" i="10"/>
  <c r="AK21" i="10"/>
  <c r="AL20" i="10"/>
  <c r="AK20" i="10"/>
  <c r="AJ20" i="10"/>
  <c r="AL15" i="10"/>
  <c r="AK15" i="10"/>
  <c r="AL14" i="10"/>
  <c r="AJ14" i="10"/>
  <c r="AK14" i="10" s="1"/>
  <c r="AI32" i="10"/>
  <c r="AH32" i="10"/>
  <c r="AI26" i="10"/>
  <c r="AH26" i="10"/>
  <c r="AI21" i="10"/>
  <c r="AH21" i="10"/>
  <c r="AG20" i="10"/>
  <c r="AI20" i="10" s="1"/>
  <c r="AI15" i="10"/>
  <c r="AH15" i="10"/>
  <c r="AH14" i="10"/>
  <c r="AG14" i="10"/>
  <c r="AI14" i="10" s="1"/>
  <c r="AF32" i="10"/>
  <c r="AE32" i="10"/>
  <c r="AF26" i="10"/>
  <c r="AE26" i="10"/>
  <c r="AF21" i="10"/>
  <c r="AE21" i="10"/>
  <c r="AD20" i="10"/>
  <c r="AF20" i="10" s="1"/>
  <c r="AF15" i="10"/>
  <c r="AE15" i="10"/>
  <c r="AE14" i="10"/>
  <c r="AD14" i="10"/>
  <c r="AF14" i="10" s="1"/>
  <c r="AC32" i="10"/>
  <c r="AB32" i="10"/>
  <c r="AC26" i="10"/>
  <c r="AB26" i="10"/>
  <c r="AC21" i="10"/>
  <c r="AB21" i="10"/>
  <c r="AA20" i="10"/>
  <c r="AC20" i="10" s="1"/>
  <c r="AC15" i="10"/>
  <c r="AB15" i="10"/>
  <c r="AA14" i="10"/>
  <c r="AC14" i="10" s="1"/>
  <c r="Z32" i="10"/>
  <c r="Y32" i="10"/>
  <c r="Z26" i="10"/>
  <c r="Y26" i="10"/>
  <c r="Z21" i="10"/>
  <c r="Y21" i="10"/>
  <c r="X20" i="10"/>
  <c r="Z20" i="10" s="1"/>
  <c r="Z15" i="10"/>
  <c r="Y15" i="10"/>
  <c r="Y14" i="10"/>
  <c r="X14" i="10"/>
  <c r="Z14" i="10" s="1"/>
  <c r="W32" i="10"/>
  <c r="V32" i="10"/>
  <c r="W26" i="10"/>
  <c r="V26" i="10"/>
  <c r="W21" i="10"/>
  <c r="V21" i="10"/>
  <c r="U20" i="10"/>
  <c r="W20" i="10" s="1"/>
  <c r="W15" i="10"/>
  <c r="V15" i="10"/>
  <c r="V14" i="10"/>
  <c r="U14" i="10"/>
  <c r="W14" i="10" s="1"/>
  <c r="T32" i="10"/>
  <c r="S32" i="10"/>
  <c r="T26" i="10"/>
  <c r="S26" i="10"/>
  <c r="T21" i="10"/>
  <c r="S21" i="10"/>
  <c r="R20" i="10"/>
  <c r="T20" i="10" s="1"/>
  <c r="T15" i="10"/>
  <c r="S15" i="10"/>
  <c r="S14" i="10"/>
  <c r="R14" i="10"/>
  <c r="T14" i="10" s="1"/>
  <c r="Q32" i="10"/>
  <c r="P32" i="10"/>
  <c r="Q26" i="10"/>
  <c r="P26" i="10"/>
  <c r="Q21" i="10"/>
  <c r="P21" i="10"/>
  <c r="O20" i="10"/>
  <c r="Q20" i="10" s="1"/>
  <c r="Q15" i="10"/>
  <c r="P15" i="10"/>
  <c r="P14" i="10"/>
  <c r="O14" i="10"/>
  <c r="Q14" i="10" s="1"/>
  <c r="N32" i="10"/>
  <c r="M32" i="10"/>
  <c r="N26" i="10"/>
  <c r="M26" i="10"/>
  <c r="N21" i="10"/>
  <c r="M21" i="10"/>
  <c r="M20" i="10"/>
  <c r="L20" i="10"/>
  <c r="N20" i="10" s="1"/>
  <c r="N15" i="10"/>
  <c r="M15" i="10"/>
  <c r="N14" i="10"/>
  <c r="L14" i="10"/>
  <c r="M14" i="10" s="1"/>
  <c r="K32" i="10"/>
  <c r="J32" i="10"/>
  <c r="K26" i="10"/>
  <c r="J26" i="10"/>
  <c r="K21" i="10"/>
  <c r="J21" i="10"/>
  <c r="K20" i="10"/>
  <c r="J20" i="10"/>
  <c r="I20" i="10"/>
  <c r="I14" i="10"/>
  <c r="K15" i="10"/>
  <c r="J15" i="10"/>
  <c r="J14" i="10"/>
  <c r="K14" i="10"/>
  <c r="CB63" i="9"/>
  <c r="CA63" i="9"/>
  <c r="CB62" i="9"/>
  <c r="CA62" i="9"/>
  <c r="CB60" i="9"/>
  <c r="CA60" i="9"/>
  <c r="BY63" i="9"/>
  <c r="BX63" i="9"/>
  <c r="BY62" i="9"/>
  <c r="BX62" i="9"/>
  <c r="BY60" i="9"/>
  <c r="BX60" i="9"/>
  <c r="BV63" i="9"/>
  <c r="BU63" i="9"/>
  <c r="BV62" i="9"/>
  <c r="BU62" i="9"/>
  <c r="BV60" i="9"/>
  <c r="BU60" i="9"/>
  <c r="BS63" i="9"/>
  <c r="BR63" i="9"/>
  <c r="BS62" i="9"/>
  <c r="BR62" i="9"/>
  <c r="BS60" i="9"/>
  <c r="BR60" i="9"/>
  <c r="BP63" i="9"/>
  <c r="BO63" i="9"/>
  <c r="BP62" i="9"/>
  <c r="BO62" i="9"/>
  <c r="BP60" i="9"/>
  <c r="BO60" i="9"/>
  <c r="BM63" i="9"/>
  <c r="BL63" i="9"/>
  <c r="BM62" i="9"/>
  <c r="BL62" i="9"/>
  <c r="BM60" i="9"/>
  <c r="BL60" i="9"/>
  <c r="BJ63" i="9"/>
  <c r="BI63" i="9"/>
  <c r="BJ62" i="9"/>
  <c r="BI62" i="9"/>
  <c r="BJ60" i="9"/>
  <c r="BI60" i="9"/>
  <c r="BG63" i="9"/>
  <c r="BF63" i="9"/>
  <c r="BG62" i="9"/>
  <c r="BF62" i="9"/>
  <c r="BG60" i="9"/>
  <c r="BF60" i="9"/>
  <c r="BD63" i="9"/>
  <c r="BC63" i="9"/>
  <c r="BD62" i="9"/>
  <c r="BC62" i="9"/>
  <c r="BD60" i="9"/>
  <c r="BC60" i="9"/>
  <c r="BA63" i="9"/>
  <c r="AZ63" i="9"/>
  <c r="BA62" i="9"/>
  <c r="AZ62" i="9"/>
  <c r="BA60" i="9"/>
  <c r="AZ60" i="9"/>
  <c r="AX63" i="9"/>
  <c r="AW63" i="9"/>
  <c r="AX62" i="9"/>
  <c r="AW62" i="9"/>
  <c r="AX60" i="9"/>
  <c r="AW60" i="9"/>
  <c r="AU63" i="9"/>
  <c r="AT63" i="9"/>
  <c r="AU62" i="9"/>
  <c r="AT62" i="9"/>
  <c r="AU60" i="9"/>
  <c r="AT60" i="9"/>
  <c r="AR63" i="9"/>
  <c r="AQ63" i="9"/>
  <c r="AR62" i="9"/>
  <c r="AQ62" i="9"/>
  <c r="AR60" i="9"/>
  <c r="AQ60" i="9"/>
  <c r="AO63" i="9"/>
  <c r="AN63" i="9"/>
  <c r="AO62" i="9"/>
  <c r="AN62" i="9"/>
  <c r="AO60" i="9"/>
  <c r="AN60" i="9"/>
  <c r="AL63" i="9"/>
  <c r="AK63" i="9"/>
  <c r="AL62" i="9"/>
  <c r="AK62" i="9"/>
  <c r="AL60" i="9"/>
  <c r="AK60" i="9"/>
  <c r="AI63" i="9"/>
  <c r="AH63" i="9"/>
  <c r="AI62" i="9"/>
  <c r="AH62" i="9"/>
  <c r="AI60" i="9"/>
  <c r="AH60" i="9"/>
  <c r="AF63" i="9"/>
  <c r="AE63" i="9"/>
  <c r="AF62" i="9"/>
  <c r="AE62" i="9"/>
  <c r="AF60" i="9"/>
  <c r="AE60" i="9"/>
  <c r="AC63" i="9"/>
  <c r="AB63" i="9"/>
  <c r="AC62" i="9"/>
  <c r="AB62" i="9"/>
  <c r="AC60" i="9"/>
  <c r="AB60" i="9"/>
  <c r="Z63" i="9"/>
  <c r="Y63" i="9"/>
  <c r="Z62" i="9"/>
  <c r="Y62" i="9"/>
  <c r="Z60" i="9"/>
  <c r="Y60" i="9"/>
  <c r="W63" i="9"/>
  <c r="V63" i="9"/>
  <c r="W62" i="9"/>
  <c r="V62" i="9"/>
  <c r="W60" i="9"/>
  <c r="V60" i="9"/>
  <c r="T63" i="9"/>
  <c r="S63" i="9"/>
  <c r="T62" i="9"/>
  <c r="S62" i="9"/>
  <c r="T60" i="9"/>
  <c r="S60" i="9"/>
  <c r="Q63" i="9"/>
  <c r="P63" i="9"/>
  <c r="Q62" i="9"/>
  <c r="P62" i="9"/>
  <c r="Q60" i="9"/>
  <c r="P60" i="9"/>
  <c r="N63" i="9"/>
  <c r="M63" i="9"/>
  <c r="N62" i="9"/>
  <c r="M62" i="9"/>
  <c r="N60" i="9"/>
  <c r="M60" i="9"/>
  <c r="K63" i="9"/>
  <c r="J63" i="9"/>
  <c r="K62" i="9"/>
  <c r="J62" i="9"/>
  <c r="K60" i="9"/>
  <c r="J60" i="9"/>
  <c r="CB55" i="9"/>
  <c r="CA55" i="9"/>
  <c r="CB54" i="9"/>
  <c r="CA54" i="9"/>
  <c r="CB52" i="9"/>
  <c r="CA52" i="9"/>
  <c r="CB48" i="9"/>
  <c r="CA48" i="9"/>
  <c r="BY55" i="9"/>
  <c r="BX55" i="9"/>
  <c r="BY54" i="9"/>
  <c r="BX54" i="9"/>
  <c r="BY52" i="9"/>
  <c r="BX52" i="9"/>
  <c r="BY48" i="9"/>
  <c r="BX48" i="9"/>
  <c r="BV55" i="9"/>
  <c r="BU55" i="9"/>
  <c r="BV54" i="9"/>
  <c r="BU54" i="9"/>
  <c r="BV52" i="9"/>
  <c r="BU52" i="9"/>
  <c r="BV48" i="9"/>
  <c r="BU48" i="9"/>
  <c r="BS55" i="9"/>
  <c r="BR55" i="9"/>
  <c r="BS54" i="9"/>
  <c r="BR54" i="9"/>
  <c r="BS52" i="9"/>
  <c r="BR52" i="9"/>
  <c r="BS48" i="9"/>
  <c r="BR48" i="9"/>
  <c r="BP55" i="9"/>
  <c r="BO55" i="9"/>
  <c r="BP54" i="9"/>
  <c r="BO54" i="9"/>
  <c r="BP52" i="9"/>
  <c r="BO52" i="9"/>
  <c r="BP48" i="9"/>
  <c r="BO48" i="9"/>
  <c r="BM55" i="9"/>
  <c r="BL55" i="9"/>
  <c r="BM54" i="9"/>
  <c r="BL54" i="9"/>
  <c r="BM52" i="9"/>
  <c r="BL52" i="9"/>
  <c r="BM48" i="9"/>
  <c r="BL48" i="9"/>
  <c r="BJ55" i="9"/>
  <c r="BI55" i="9"/>
  <c r="BJ54" i="9"/>
  <c r="BI54" i="9"/>
  <c r="BJ52" i="9"/>
  <c r="BI52" i="9"/>
  <c r="BJ48" i="9"/>
  <c r="BI48" i="9"/>
  <c r="BG55" i="9"/>
  <c r="BF55" i="9"/>
  <c r="BG54" i="9"/>
  <c r="BF54" i="9"/>
  <c r="BG52" i="9"/>
  <c r="BF52" i="9"/>
  <c r="BG48" i="9"/>
  <c r="BF48" i="9"/>
  <c r="BD55" i="9"/>
  <c r="BC55" i="9"/>
  <c r="BD54" i="9"/>
  <c r="BC54" i="9"/>
  <c r="BD52" i="9"/>
  <c r="BC52" i="9"/>
  <c r="BD48" i="9"/>
  <c r="BC48" i="9"/>
  <c r="BA55" i="9"/>
  <c r="AZ55" i="9"/>
  <c r="BA54" i="9"/>
  <c r="AZ54" i="9"/>
  <c r="BA52" i="9"/>
  <c r="AZ52" i="9"/>
  <c r="BA48" i="9"/>
  <c r="AZ48" i="9"/>
  <c r="AX55" i="9"/>
  <c r="AW55" i="9"/>
  <c r="AX54" i="9"/>
  <c r="AW54" i="9"/>
  <c r="AX52" i="9"/>
  <c r="AW52" i="9"/>
  <c r="AX48" i="9"/>
  <c r="AW48" i="9"/>
  <c r="AU55" i="9"/>
  <c r="AT55" i="9"/>
  <c r="AU54" i="9"/>
  <c r="AT54" i="9"/>
  <c r="AU52" i="9"/>
  <c r="AT52" i="9"/>
  <c r="AU48" i="9"/>
  <c r="AT48" i="9"/>
  <c r="AR55" i="9"/>
  <c r="AQ55" i="9"/>
  <c r="AR54" i="9"/>
  <c r="AQ54" i="9"/>
  <c r="AR52" i="9"/>
  <c r="AQ52" i="9"/>
  <c r="AR48" i="9"/>
  <c r="AQ48" i="9"/>
  <c r="AO55" i="9"/>
  <c r="AN55" i="9"/>
  <c r="AO54" i="9"/>
  <c r="AN54" i="9"/>
  <c r="AO52" i="9"/>
  <c r="AN52" i="9"/>
  <c r="AO48" i="9"/>
  <c r="AN48" i="9"/>
  <c r="AL55" i="9"/>
  <c r="AK55" i="9"/>
  <c r="AL54" i="9"/>
  <c r="AK54" i="9"/>
  <c r="AL52" i="9"/>
  <c r="AK52" i="9"/>
  <c r="AL48" i="9"/>
  <c r="AK48" i="9"/>
  <c r="AI55" i="9"/>
  <c r="AH55" i="9"/>
  <c r="AI54" i="9"/>
  <c r="AH54" i="9"/>
  <c r="AI52" i="9"/>
  <c r="AH52" i="9"/>
  <c r="AI48" i="9"/>
  <c r="AH48" i="9"/>
  <c r="AF55" i="9"/>
  <c r="AE55" i="9"/>
  <c r="AF54" i="9"/>
  <c r="AE54" i="9"/>
  <c r="AF52" i="9"/>
  <c r="AE52" i="9"/>
  <c r="AF48" i="9"/>
  <c r="AE48" i="9"/>
  <c r="AC55" i="9"/>
  <c r="AB55" i="9"/>
  <c r="AC54" i="9"/>
  <c r="AB54" i="9"/>
  <c r="AC52" i="9"/>
  <c r="AB52" i="9"/>
  <c r="AC48" i="9"/>
  <c r="AB48" i="9"/>
  <c r="Z55" i="9"/>
  <c r="Y55" i="9"/>
  <c r="Z54" i="9"/>
  <c r="Y54" i="9"/>
  <c r="Z52" i="9"/>
  <c r="Y52" i="9"/>
  <c r="Z48" i="9"/>
  <c r="Y48" i="9"/>
  <c r="W55" i="9"/>
  <c r="V55" i="9"/>
  <c r="W54" i="9"/>
  <c r="V54" i="9"/>
  <c r="W52" i="9"/>
  <c r="V52" i="9"/>
  <c r="W48" i="9"/>
  <c r="V48" i="9"/>
  <c r="T55" i="9"/>
  <c r="S55" i="9"/>
  <c r="T54" i="9"/>
  <c r="S54" i="9"/>
  <c r="T52" i="9"/>
  <c r="S52" i="9"/>
  <c r="T48" i="9"/>
  <c r="S48" i="9"/>
  <c r="Q55" i="9"/>
  <c r="P55" i="9"/>
  <c r="Q54" i="9"/>
  <c r="P54" i="9"/>
  <c r="Q52" i="9"/>
  <c r="P52" i="9"/>
  <c r="Q48" i="9"/>
  <c r="P48" i="9"/>
  <c r="N55" i="9"/>
  <c r="M55" i="9"/>
  <c r="N54" i="9"/>
  <c r="M54" i="9"/>
  <c r="N52" i="9"/>
  <c r="M52" i="9"/>
  <c r="N48" i="9"/>
  <c r="M48" i="9"/>
  <c r="K55" i="9"/>
  <c r="J55" i="9"/>
  <c r="K54" i="9"/>
  <c r="J54" i="9"/>
  <c r="K52" i="9"/>
  <c r="J52" i="9"/>
  <c r="K48" i="9"/>
  <c r="J48" i="9"/>
  <c r="CB32" i="9"/>
  <c r="CA32" i="9"/>
  <c r="CB26" i="9"/>
  <c r="CA26" i="9"/>
  <c r="CB21" i="9"/>
  <c r="CA21" i="9"/>
  <c r="CB20" i="9"/>
  <c r="CA20" i="9"/>
  <c r="CB15" i="9"/>
  <c r="CA15" i="9"/>
  <c r="CB14" i="9"/>
  <c r="CA14" i="9"/>
  <c r="BY32" i="9"/>
  <c r="BX32" i="9"/>
  <c r="BY26" i="9"/>
  <c r="BX26" i="9"/>
  <c r="BY21" i="9"/>
  <c r="BX21" i="9"/>
  <c r="BY20" i="9"/>
  <c r="BX20" i="9"/>
  <c r="BY15" i="9"/>
  <c r="BX15" i="9"/>
  <c r="BY14" i="9"/>
  <c r="BX14" i="9"/>
  <c r="BV32" i="9"/>
  <c r="BU32" i="9"/>
  <c r="BV26" i="9"/>
  <c r="BU26" i="9"/>
  <c r="BV21" i="9"/>
  <c r="BU21" i="9"/>
  <c r="BV20" i="9"/>
  <c r="BU20" i="9"/>
  <c r="BV15" i="9"/>
  <c r="BU15" i="9"/>
  <c r="BV14" i="9"/>
  <c r="BU14" i="9"/>
  <c r="BS32" i="9"/>
  <c r="BR32" i="9"/>
  <c r="BS26" i="9"/>
  <c r="BR26" i="9"/>
  <c r="BS21" i="9"/>
  <c r="BR21" i="9"/>
  <c r="BS20" i="9"/>
  <c r="BR20" i="9"/>
  <c r="BS15" i="9"/>
  <c r="BR15" i="9"/>
  <c r="BS14" i="9"/>
  <c r="BR14" i="9"/>
  <c r="BP32" i="9"/>
  <c r="BO32" i="9"/>
  <c r="BP26" i="9"/>
  <c r="BO26" i="9"/>
  <c r="BP21" i="9"/>
  <c r="BO21" i="9"/>
  <c r="BP20" i="9"/>
  <c r="BO20" i="9"/>
  <c r="BP15" i="9"/>
  <c r="BO15" i="9"/>
  <c r="BP14" i="9"/>
  <c r="BO14" i="9"/>
  <c r="BM32" i="9"/>
  <c r="BL32" i="9"/>
  <c r="BM26" i="9"/>
  <c r="BL26" i="9"/>
  <c r="BM21" i="9"/>
  <c r="BL21" i="9"/>
  <c r="BM20" i="9"/>
  <c r="BL20" i="9"/>
  <c r="BM15" i="9"/>
  <c r="BL15" i="9"/>
  <c r="BM14" i="9"/>
  <c r="BL14" i="9"/>
  <c r="BJ32" i="9"/>
  <c r="BI32" i="9"/>
  <c r="BJ26" i="9"/>
  <c r="BI26" i="9"/>
  <c r="BJ21" i="9"/>
  <c r="BI21" i="9"/>
  <c r="BJ20" i="9"/>
  <c r="BI20" i="9"/>
  <c r="BJ15" i="9"/>
  <c r="BI15" i="9"/>
  <c r="BJ14" i="9"/>
  <c r="BI14" i="9"/>
  <c r="BG32" i="9"/>
  <c r="BF32" i="9"/>
  <c r="BG26" i="9"/>
  <c r="BF26" i="9"/>
  <c r="BG21" i="9"/>
  <c r="BF21" i="9"/>
  <c r="BG20" i="9"/>
  <c r="BF20" i="9"/>
  <c r="BG15" i="9"/>
  <c r="BF15" i="9"/>
  <c r="BG14" i="9"/>
  <c r="BF14" i="9"/>
  <c r="BD32" i="9"/>
  <c r="BC32" i="9"/>
  <c r="BD26" i="9"/>
  <c r="BC26" i="9"/>
  <c r="BD21" i="9"/>
  <c r="BC21" i="9"/>
  <c r="BD20" i="9"/>
  <c r="BC20" i="9"/>
  <c r="BD15" i="9"/>
  <c r="BC15" i="9"/>
  <c r="BD14" i="9"/>
  <c r="BC14" i="9"/>
  <c r="BA32" i="9"/>
  <c r="AZ32" i="9"/>
  <c r="BA26" i="9"/>
  <c r="AZ26" i="9"/>
  <c r="BA21" i="9"/>
  <c r="AZ21" i="9"/>
  <c r="BA20" i="9"/>
  <c r="AZ20" i="9"/>
  <c r="BA15" i="9"/>
  <c r="AZ15" i="9"/>
  <c r="BA14" i="9"/>
  <c r="AZ14" i="9"/>
  <c r="AX32" i="9"/>
  <c r="AW32" i="9"/>
  <c r="AX26" i="9"/>
  <c r="AW26" i="9"/>
  <c r="AX21" i="9"/>
  <c r="AW21" i="9"/>
  <c r="AX20" i="9"/>
  <c r="AW20" i="9"/>
  <c r="AX15" i="9"/>
  <c r="AW15" i="9"/>
  <c r="AX14" i="9"/>
  <c r="AW14" i="9"/>
  <c r="AU32" i="9"/>
  <c r="AT32" i="9"/>
  <c r="AU26" i="9"/>
  <c r="AT26" i="9"/>
  <c r="AU21" i="9"/>
  <c r="AT21" i="9"/>
  <c r="AU20" i="9"/>
  <c r="AT20" i="9"/>
  <c r="AU15" i="9"/>
  <c r="AT15" i="9"/>
  <c r="AU14" i="9"/>
  <c r="AT14" i="9"/>
  <c r="AR32" i="9"/>
  <c r="AQ32" i="9"/>
  <c r="AR26" i="9"/>
  <c r="AQ26" i="9"/>
  <c r="AR21" i="9"/>
  <c r="AQ21" i="9"/>
  <c r="AR20" i="9"/>
  <c r="AQ20" i="9"/>
  <c r="AR15" i="9"/>
  <c r="AQ15" i="9"/>
  <c r="AR14" i="9"/>
  <c r="AQ14" i="9"/>
  <c r="AO32" i="9"/>
  <c r="AN32" i="9"/>
  <c r="AO26" i="9"/>
  <c r="AN26" i="9"/>
  <c r="AO21" i="9"/>
  <c r="AN21" i="9"/>
  <c r="AO20" i="9"/>
  <c r="AN20" i="9"/>
  <c r="AO15" i="9"/>
  <c r="AN15" i="9"/>
  <c r="AO14" i="9"/>
  <c r="AN14" i="9"/>
  <c r="AL32" i="9"/>
  <c r="AK32" i="9"/>
  <c r="AL26" i="9"/>
  <c r="AK26" i="9"/>
  <c r="AL21" i="9"/>
  <c r="AK21" i="9"/>
  <c r="AL20" i="9"/>
  <c r="AK20" i="9"/>
  <c r="AL15" i="9"/>
  <c r="AK15" i="9"/>
  <c r="AL14" i="9"/>
  <c r="AK14" i="9"/>
  <c r="AI32" i="9"/>
  <c r="AH32" i="9"/>
  <c r="AI26" i="9"/>
  <c r="AH26" i="9"/>
  <c r="AI21" i="9"/>
  <c r="AH21" i="9"/>
  <c r="AI20" i="9"/>
  <c r="AH20" i="9"/>
  <c r="AI15" i="9"/>
  <c r="AH15" i="9"/>
  <c r="AI14" i="9"/>
  <c r="AH14" i="9"/>
  <c r="AF32" i="9"/>
  <c r="AE32" i="9"/>
  <c r="AF26" i="9"/>
  <c r="AE26" i="9"/>
  <c r="AF21" i="9"/>
  <c r="AE21" i="9"/>
  <c r="AF20" i="9"/>
  <c r="AE20" i="9"/>
  <c r="AF15" i="9"/>
  <c r="AE15" i="9"/>
  <c r="AF14" i="9"/>
  <c r="AE14" i="9"/>
  <c r="AC32" i="9"/>
  <c r="AB32" i="9"/>
  <c r="AC26" i="9"/>
  <c r="AB26" i="9"/>
  <c r="AC21" i="9"/>
  <c r="AB21" i="9"/>
  <c r="AC20" i="9"/>
  <c r="AB20" i="9"/>
  <c r="AC15" i="9"/>
  <c r="AB15" i="9"/>
  <c r="AC14" i="9"/>
  <c r="AB14" i="9"/>
  <c r="Z32" i="9"/>
  <c r="Y32" i="9"/>
  <c r="Z26" i="9"/>
  <c r="Y26" i="9"/>
  <c r="Z21" i="9"/>
  <c r="Y21" i="9"/>
  <c r="Z20" i="9"/>
  <c r="Y20" i="9"/>
  <c r="Z15" i="9"/>
  <c r="Y15" i="9"/>
  <c r="Z14" i="9"/>
  <c r="Y14" i="9"/>
  <c r="W32" i="9"/>
  <c r="V32" i="9"/>
  <c r="W26" i="9"/>
  <c r="V26" i="9"/>
  <c r="W21" i="9"/>
  <c r="V21" i="9"/>
  <c r="W20" i="9"/>
  <c r="V20" i="9"/>
  <c r="W15" i="9"/>
  <c r="V15" i="9"/>
  <c r="W14" i="9"/>
  <c r="V14" i="9"/>
  <c r="T32" i="9"/>
  <c r="S32" i="9"/>
  <c r="T26" i="9"/>
  <c r="S26" i="9"/>
  <c r="T21" i="9"/>
  <c r="S21" i="9"/>
  <c r="T20" i="9"/>
  <c r="S20" i="9"/>
  <c r="T15" i="9"/>
  <c r="S15" i="9"/>
  <c r="T14" i="9"/>
  <c r="S14" i="9"/>
  <c r="Q32" i="9"/>
  <c r="P32" i="9"/>
  <c r="Q26" i="9"/>
  <c r="P26" i="9"/>
  <c r="Q21" i="9"/>
  <c r="P21" i="9"/>
  <c r="Q20" i="9"/>
  <c r="P20" i="9"/>
  <c r="Q15" i="9"/>
  <c r="P15" i="9"/>
  <c r="Q14" i="9"/>
  <c r="P14" i="9"/>
  <c r="N32" i="9"/>
  <c r="M32" i="9"/>
  <c r="N26" i="9"/>
  <c r="M26" i="9"/>
  <c r="N21" i="9"/>
  <c r="M21" i="9"/>
  <c r="N20" i="9"/>
  <c r="M20" i="9"/>
  <c r="N15" i="9"/>
  <c r="M15" i="9"/>
  <c r="N14" i="9"/>
  <c r="M14" i="9"/>
  <c r="K32" i="9"/>
  <c r="J32" i="9"/>
  <c r="K26" i="9"/>
  <c r="J26" i="9"/>
  <c r="K21" i="9"/>
  <c r="J21" i="9"/>
  <c r="K20" i="9"/>
  <c r="J20" i="9"/>
  <c r="K15" i="9"/>
  <c r="J15" i="9"/>
  <c r="K14" i="9"/>
  <c r="J14" i="9"/>
  <c r="CB54" i="8"/>
  <c r="CA54" i="8"/>
  <c r="CB53" i="8"/>
  <c r="CA53" i="8"/>
  <c r="CB52" i="8"/>
  <c r="CA52" i="8"/>
  <c r="BY54" i="8"/>
  <c r="BX54" i="8"/>
  <c r="BY53" i="8"/>
  <c r="BX53" i="8"/>
  <c r="BY52" i="8"/>
  <c r="BX52" i="8"/>
  <c r="BV54" i="8"/>
  <c r="BU54" i="8"/>
  <c r="BV53" i="8"/>
  <c r="BU53" i="8"/>
  <c r="BV52" i="8"/>
  <c r="BU52" i="8"/>
  <c r="BS54" i="8"/>
  <c r="BR54" i="8"/>
  <c r="BS53" i="8"/>
  <c r="BR53" i="8"/>
  <c r="BS52" i="8"/>
  <c r="BR52" i="8"/>
  <c r="BP54" i="8"/>
  <c r="BO54" i="8"/>
  <c r="BP53" i="8"/>
  <c r="BO53" i="8"/>
  <c r="BP52" i="8"/>
  <c r="BO52" i="8"/>
  <c r="BM54" i="8"/>
  <c r="BL54" i="8"/>
  <c r="BM53" i="8"/>
  <c r="BL53" i="8"/>
  <c r="BM52" i="8"/>
  <c r="BL52" i="8"/>
  <c r="BJ54" i="8"/>
  <c r="BI54" i="8"/>
  <c r="BJ53" i="8"/>
  <c r="BI53" i="8"/>
  <c r="BJ52" i="8"/>
  <c r="BI52" i="8"/>
  <c r="BG54" i="8"/>
  <c r="BF54" i="8"/>
  <c r="BG53" i="8"/>
  <c r="BF53" i="8"/>
  <c r="BG52" i="8"/>
  <c r="BF52" i="8"/>
  <c r="BD54" i="8"/>
  <c r="BC54" i="8"/>
  <c r="BD53" i="8"/>
  <c r="BC53" i="8"/>
  <c r="BD52" i="8"/>
  <c r="BC52" i="8"/>
  <c r="BA54" i="8"/>
  <c r="AZ54" i="8"/>
  <c r="BA53" i="8"/>
  <c r="AZ53" i="8"/>
  <c r="BA52" i="8"/>
  <c r="AZ52" i="8"/>
  <c r="AX54" i="8"/>
  <c r="AW54" i="8"/>
  <c r="AX53" i="8"/>
  <c r="AW53" i="8"/>
  <c r="AX52" i="8"/>
  <c r="AW52" i="8"/>
  <c r="AU54" i="8"/>
  <c r="AT54" i="8"/>
  <c r="AU53" i="8"/>
  <c r="AT53" i="8"/>
  <c r="AU52" i="8"/>
  <c r="AT52" i="8"/>
  <c r="AR54" i="8"/>
  <c r="AQ54" i="8"/>
  <c r="AR53" i="8"/>
  <c r="AQ53" i="8"/>
  <c r="AR52" i="8"/>
  <c r="AQ52" i="8"/>
  <c r="AO54" i="8"/>
  <c r="AN54" i="8"/>
  <c r="AO53" i="8"/>
  <c r="AN53" i="8"/>
  <c r="AO52" i="8"/>
  <c r="AN52" i="8"/>
  <c r="AL54" i="8"/>
  <c r="AK54" i="8"/>
  <c r="AL53" i="8"/>
  <c r="AK53" i="8"/>
  <c r="AL52" i="8"/>
  <c r="AK52" i="8"/>
  <c r="AI54" i="8"/>
  <c r="AH54" i="8"/>
  <c r="AI53" i="8"/>
  <c r="AH53" i="8"/>
  <c r="AI52" i="8"/>
  <c r="AH52" i="8"/>
  <c r="AF54" i="8"/>
  <c r="AE54" i="8"/>
  <c r="AF53" i="8"/>
  <c r="AE53" i="8"/>
  <c r="AF52" i="8"/>
  <c r="AE52" i="8"/>
  <c r="Z54" i="8"/>
  <c r="Y54" i="8"/>
  <c r="Z53" i="8"/>
  <c r="Y53" i="8"/>
  <c r="Z52" i="8"/>
  <c r="Y52" i="8"/>
  <c r="W54" i="8"/>
  <c r="V54" i="8"/>
  <c r="W53" i="8"/>
  <c r="V53" i="8"/>
  <c r="W52" i="8"/>
  <c r="V52" i="8"/>
  <c r="T54" i="8"/>
  <c r="S54" i="8"/>
  <c r="T53" i="8"/>
  <c r="S53" i="8"/>
  <c r="T52" i="8"/>
  <c r="S52" i="8"/>
  <c r="Q54" i="8"/>
  <c r="P54" i="8"/>
  <c r="Q53" i="8"/>
  <c r="P53" i="8"/>
  <c r="Q52" i="8"/>
  <c r="P52" i="8"/>
  <c r="N54" i="8"/>
  <c r="M54" i="8"/>
  <c r="N53" i="8"/>
  <c r="M53" i="8"/>
  <c r="N52" i="8"/>
  <c r="M52" i="8"/>
  <c r="AC54" i="8"/>
  <c r="AB54" i="8"/>
  <c r="AC53" i="8"/>
  <c r="AB53" i="8"/>
  <c r="AC52" i="8"/>
  <c r="AB52" i="8"/>
  <c r="K54" i="8"/>
  <c r="J54" i="8"/>
  <c r="K53" i="8"/>
  <c r="J53" i="8"/>
  <c r="K52" i="8"/>
  <c r="J52" i="8"/>
  <c r="N36" i="8"/>
  <c r="M36" i="8"/>
  <c r="Q36" i="8"/>
  <c r="P36" i="8"/>
  <c r="T36" i="8"/>
  <c r="S36" i="8"/>
  <c r="W36" i="8"/>
  <c r="V36" i="8"/>
  <c r="Z36" i="8"/>
  <c r="Y36" i="8"/>
  <c r="AC36" i="8"/>
  <c r="AB36" i="8"/>
  <c r="AF36" i="8"/>
  <c r="AE36" i="8"/>
  <c r="AI36" i="8"/>
  <c r="AH36" i="8"/>
  <c r="AL36" i="8"/>
  <c r="AK36" i="8"/>
  <c r="AO36" i="8"/>
  <c r="AN36" i="8"/>
  <c r="AR36" i="8"/>
  <c r="AQ36" i="8"/>
  <c r="AU36" i="8"/>
  <c r="AT36" i="8"/>
  <c r="AX36" i="8"/>
  <c r="AW36" i="8"/>
  <c r="BA36" i="8"/>
  <c r="AZ36" i="8"/>
  <c r="BD36" i="8"/>
  <c r="BC36" i="8"/>
  <c r="BG36" i="8"/>
  <c r="BF36" i="8"/>
  <c r="BJ36" i="8"/>
  <c r="BI36" i="8"/>
  <c r="BM36" i="8"/>
  <c r="BL36" i="8"/>
  <c r="BP36" i="8"/>
  <c r="BO36" i="8"/>
  <c r="BS36" i="8"/>
  <c r="BR36" i="8"/>
  <c r="BV36" i="8"/>
  <c r="BU36" i="8"/>
  <c r="BY36" i="8"/>
  <c r="BX36" i="8"/>
  <c r="CB36" i="8"/>
  <c r="CA36" i="8"/>
  <c r="CB30" i="8"/>
  <c r="CA30" i="8"/>
  <c r="BY30" i="8"/>
  <c r="BX30" i="8"/>
  <c r="BV30" i="8"/>
  <c r="BU30" i="8"/>
  <c r="BS30" i="8"/>
  <c r="BR30" i="8"/>
  <c r="BP30" i="8"/>
  <c r="BO30" i="8"/>
  <c r="BM30" i="8"/>
  <c r="BL30" i="8"/>
  <c r="BJ30" i="8"/>
  <c r="BI30" i="8"/>
  <c r="BG30" i="8"/>
  <c r="BF30" i="8"/>
  <c r="BD30" i="8"/>
  <c r="BC30" i="8"/>
  <c r="BA30" i="8"/>
  <c r="AZ30" i="8"/>
  <c r="AX30" i="8"/>
  <c r="AW30" i="8"/>
  <c r="AU30" i="8"/>
  <c r="AT30" i="8"/>
  <c r="AR30" i="8"/>
  <c r="AQ30" i="8"/>
  <c r="AO30" i="8"/>
  <c r="AN30" i="8"/>
  <c r="AL30" i="8"/>
  <c r="AK30" i="8"/>
  <c r="AF30" i="8"/>
  <c r="AE30" i="8"/>
  <c r="AC30" i="8"/>
  <c r="AB30" i="8"/>
  <c r="Z30" i="8"/>
  <c r="Y30" i="8"/>
  <c r="W30" i="8"/>
  <c r="V30" i="8"/>
  <c r="T30" i="8"/>
  <c r="S30" i="8"/>
  <c r="Q30" i="8"/>
  <c r="P30" i="8"/>
  <c r="N30" i="8"/>
  <c r="M30" i="8"/>
  <c r="K36" i="8"/>
  <c r="J36" i="8"/>
  <c r="K30" i="8"/>
  <c r="J30" i="8"/>
  <c r="J24" i="8"/>
  <c r="CB24" i="8"/>
  <c r="CA24" i="8"/>
  <c r="CB23" i="8"/>
  <c r="CA23" i="8"/>
  <c r="CB22" i="8"/>
  <c r="CA22" i="8"/>
  <c r="BY24" i="8"/>
  <c r="BX24" i="8"/>
  <c r="BY23" i="8"/>
  <c r="BX23" i="8"/>
  <c r="BY22" i="8"/>
  <c r="BX22" i="8"/>
  <c r="BV24" i="8"/>
  <c r="BU24" i="8"/>
  <c r="BV23" i="8"/>
  <c r="BU23" i="8"/>
  <c r="BV22" i="8"/>
  <c r="BU22" i="8"/>
  <c r="BS24" i="8"/>
  <c r="BR24" i="8"/>
  <c r="BS23" i="8"/>
  <c r="BR23" i="8"/>
  <c r="BS22" i="8"/>
  <c r="BR22" i="8"/>
  <c r="BP24" i="8"/>
  <c r="BO24" i="8"/>
  <c r="BP23" i="8"/>
  <c r="BO23" i="8"/>
  <c r="BP22" i="8"/>
  <c r="BO22" i="8"/>
  <c r="BM24" i="8"/>
  <c r="BL24" i="8"/>
  <c r="BM23" i="8"/>
  <c r="BL23" i="8"/>
  <c r="BM22" i="8"/>
  <c r="BL22" i="8"/>
  <c r="BJ24" i="8"/>
  <c r="BI24" i="8"/>
  <c r="BJ23" i="8"/>
  <c r="BI23" i="8"/>
  <c r="BJ22" i="8"/>
  <c r="BI22" i="8"/>
  <c r="BG24" i="8"/>
  <c r="BF24" i="8"/>
  <c r="BG23" i="8"/>
  <c r="BF23" i="8"/>
  <c r="BG22" i="8"/>
  <c r="BF22" i="8"/>
  <c r="BD24" i="8"/>
  <c r="BC24" i="8"/>
  <c r="BD23" i="8"/>
  <c r="BC23" i="8"/>
  <c r="BD22" i="8"/>
  <c r="BC22" i="8"/>
  <c r="BA24" i="8"/>
  <c r="AZ24" i="8"/>
  <c r="BA23" i="8"/>
  <c r="AZ23" i="8"/>
  <c r="BA22" i="8"/>
  <c r="AZ22" i="8"/>
  <c r="AX24" i="8"/>
  <c r="AW24" i="8"/>
  <c r="AX23" i="8"/>
  <c r="AW23" i="8"/>
  <c r="AX22" i="8"/>
  <c r="AW22" i="8"/>
  <c r="AU24" i="8"/>
  <c r="AT24" i="8"/>
  <c r="AU23" i="8"/>
  <c r="AT23" i="8"/>
  <c r="AU22" i="8"/>
  <c r="AT22" i="8"/>
  <c r="AR24" i="8"/>
  <c r="AQ24" i="8"/>
  <c r="AR23" i="8"/>
  <c r="AQ23" i="8"/>
  <c r="AR22" i="8"/>
  <c r="AQ22" i="8"/>
  <c r="AO24" i="8"/>
  <c r="AN24" i="8"/>
  <c r="AO23" i="8"/>
  <c r="AN23" i="8"/>
  <c r="AO22" i="8"/>
  <c r="AN22" i="8"/>
  <c r="AL24" i="8"/>
  <c r="AK24" i="8"/>
  <c r="AL23" i="8"/>
  <c r="AK23" i="8"/>
  <c r="AL22" i="8"/>
  <c r="AK22" i="8"/>
  <c r="AI24" i="8"/>
  <c r="AH24" i="8"/>
  <c r="AI23" i="8"/>
  <c r="AH23" i="8"/>
  <c r="AI22" i="8"/>
  <c r="AH22" i="8"/>
  <c r="AF24" i="8"/>
  <c r="AE24" i="8"/>
  <c r="AF23" i="8"/>
  <c r="AE23" i="8"/>
  <c r="AF22" i="8"/>
  <c r="AE22" i="8"/>
  <c r="AC24" i="8"/>
  <c r="AB24" i="8"/>
  <c r="AC23" i="8"/>
  <c r="AB23" i="8"/>
  <c r="AC22" i="8"/>
  <c r="AB22" i="8"/>
  <c r="Z24" i="8"/>
  <c r="Y24" i="8"/>
  <c r="Z23" i="8"/>
  <c r="Y23" i="8"/>
  <c r="Z22" i="8"/>
  <c r="Y22" i="8"/>
  <c r="W24" i="8"/>
  <c r="V24" i="8"/>
  <c r="W23" i="8"/>
  <c r="V23" i="8"/>
  <c r="W22" i="8"/>
  <c r="V22" i="8"/>
  <c r="T24" i="8"/>
  <c r="S24" i="8"/>
  <c r="T23" i="8"/>
  <c r="S23" i="8"/>
  <c r="T22" i="8"/>
  <c r="S22" i="8"/>
  <c r="Q24" i="8"/>
  <c r="P24" i="8"/>
  <c r="Q23" i="8"/>
  <c r="P23" i="8"/>
  <c r="Q22" i="8"/>
  <c r="P22" i="8"/>
  <c r="N24" i="8"/>
  <c r="M24" i="8"/>
  <c r="N23" i="8"/>
  <c r="M23" i="8"/>
  <c r="N22" i="8"/>
  <c r="M22" i="8"/>
  <c r="K24" i="8"/>
  <c r="J22" i="8"/>
  <c r="K23" i="8"/>
  <c r="J23" i="8"/>
  <c r="K22" i="8"/>
  <c r="CB16" i="8"/>
  <c r="CA16" i="8"/>
  <c r="CB15" i="8"/>
  <c r="CA15" i="8"/>
  <c r="CB14" i="8"/>
  <c r="CA14" i="8"/>
  <c r="BY16" i="8"/>
  <c r="BX16" i="8"/>
  <c r="BY15" i="8"/>
  <c r="BX15" i="8"/>
  <c r="BY14" i="8"/>
  <c r="BX14" i="8"/>
  <c r="BV16" i="8"/>
  <c r="BU16" i="8"/>
  <c r="BV15" i="8"/>
  <c r="BU15" i="8"/>
  <c r="BV14" i="8"/>
  <c r="BU14" i="8"/>
  <c r="BS16" i="8"/>
  <c r="BR16" i="8"/>
  <c r="BS15" i="8"/>
  <c r="BR15" i="8"/>
  <c r="BS14" i="8"/>
  <c r="BR14" i="8"/>
  <c r="BP16" i="8"/>
  <c r="BO16" i="8"/>
  <c r="BP15" i="8"/>
  <c r="BO15" i="8"/>
  <c r="BP14" i="8"/>
  <c r="BO14" i="8"/>
  <c r="BM16" i="8"/>
  <c r="BL16" i="8"/>
  <c r="BM15" i="8"/>
  <c r="BL15" i="8"/>
  <c r="BM14" i="8"/>
  <c r="BL14" i="8"/>
  <c r="BJ16" i="8"/>
  <c r="BI16" i="8"/>
  <c r="BJ15" i="8"/>
  <c r="BI15" i="8"/>
  <c r="BJ14" i="8"/>
  <c r="BI14" i="8"/>
  <c r="BG16" i="8"/>
  <c r="BF16" i="8"/>
  <c r="BG15" i="8"/>
  <c r="BF15" i="8"/>
  <c r="BG14" i="8"/>
  <c r="BF14" i="8"/>
  <c r="BD16" i="8"/>
  <c r="BC16" i="8"/>
  <c r="BD15" i="8"/>
  <c r="BC15" i="8"/>
  <c r="BD14" i="8"/>
  <c r="BC14" i="8"/>
  <c r="BA16" i="8"/>
  <c r="AZ16" i="8"/>
  <c r="BA15" i="8"/>
  <c r="AZ15" i="8"/>
  <c r="BA14" i="8"/>
  <c r="AZ14" i="8"/>
  <c r="AX16" i="8"/>
  <c r="AW16" i="8"/>
  <c r="AX15" i="8"/>
  <c r="AW15" i="8"/>
  <c r="AX14" i="8"/>
  <c r="AW14" i="8"/>
  <c r="AU16" i="8"/>
  <c r="AT16" i="8"/>
  <c r="AU15" i="8"/>
  <c r="AT15" i="8"/>
  <c r="AU14" i="8"/>
  <c r="AT14" i="8"/>
  <c r="AR16" i="8"/>
  <c r="AQ16" i="8"/>
  <c r="AR15" i="8"/>
  <c r="AQ15" i="8"/>
  <c r="AR14" i="8"/>
  <c r="AQ14" i="8"/>
  <c r="AO16" i="8"/>
  <c r="AN16" i="8"/>
  <c r="AO15" i="8"/>
  <c r="AN15" i="8"/>
  <c r="AO14" i="8"/>
  <c r="AN14" i="8"/>
  <c r="AL16" i="8"/>
  <c r="AK16" i="8"/>
  <c r="AL15" i="8"/>
  <c r="AK15" i="8"/>
  <c r="AL14" i="8"/>
  <c r="AK14" i="8"/>
  <c r="AI16" i="8"/>
  <c r="AH16" i="8"/>
  <c r="AI15" i="8"/>
  <c r="AH15" i="8"/>
  <c r="AI14" i="8"/>
  <c r="AH14" i="8"/>
  <c r="AF16" i="8"/>
  <c r="AE16" i="8"/>
  <c r="AF15" i="8"/>
  <c r="AE15" i="8"/>
  <c r="AF14" i="8"/>
  <c r="AE14" i="8"/>
  <c r="AC16" i="8"/>
  <c r="AB16" i="8"/>
  <c r="AC15" i="8"/>
  <c r="AB15" i="8"/>
  <c r="AC14" i="8"/>
  <c r="AB14" i="8"/>
  <c r="Z16" i="8"/>
  <c r="Y16" i="8"/>
  <c r="Z15" i="8"/>
  <c r="Y15" i="8"/>
  <c r="Z14" i="8"/>
  <c r="Y14" i="8"/>
  <c r="W16" i="8"/>
  <c r="V16" i="8"/>
  <c r="W15" i="8"/>
  <c r="V15" i="8"/>
  <c r="W14" i="8"/>
  <c r="V14" i="8"/>
  <c r="T16" i="8"/>
  <c r="S16" i="8"/>
  <c r="T15" i="8"/>
  <c r="S15" i="8"/>
  <c r="T14" i="8"/>
  <c r="S14" i="8"/>
  <c r="Q16" i="8"/>
  <c r="P16" i="8"/>
  <c r="Q15" i="8"/>
  <c r="P15" i="8"/>
  <c r="Q14" i="8"/>
  <c r="P14" i="8"/>
  <c r="N16" i="8"/>
  <c r="M16" i="8"/>
  <c r="N15" i="8"/>
  <c r="M15" i="8"/>
  <c r="N14" i="8"/>
  <c r="M14" i="8"/>
  <c r="K14" i="8"/>
  <c r="J14" i="8"/>
  <c r="K16" i="8"/>
  <c r="J16" i="8"/>
  <c r="K15" i="8"/>
  <c r="J15" i="8"/>
  <c r="Q50" i="7"/>
  <c r="P50" i="7"/>
  <c r="Q49" i="7"/>
  <c r="P49" i="7"/>
  <c r="Q48" i="7"/>
  <c r="P48" i="7"/>
  <c r="CB50" i="7"/>
  <c r="CA50" i="7"/>
  <c r="CB49" i="7"/>
  <c r="CA49" i="7"/>
  <c r="CB48" i="7"/>
  <c r="CA48" i="7"/>
  <c r="BY50" i="7"/>
  <c r="BX50" i="7"/>
  <c r="BY49" i="7"/>
  <c r="BX49" i="7"/>
  <c r="BY48" i="7"/>
  <c r="BX48" i="7"/>
  <c r="BV50" i="7"/>
  <c r="BU50" i="7"/>
  <c r="BV49" i="7"/>
  <c r="BU49" i="7"/>
  <c r="BV48" i="7"/>
  <c r="BU48" i="7"/>
  <c r="BS50" i="7"/>
  <c r="BR50" i="7"/>
  <c r="BS49" i="7"/>
  <c r="BR49" i="7"/>
  <c r="BS48" i="7"/>
  <c r="BR48" i="7"/>
  <c r="BP50" i="7"/>
  <c r="BO50" i="7"/>
  <c r="BP49" i="7"/>
  <c r="BO49" i="7"/>
  <c r="BP48" i="7"/>
  <c r="BO48" i="7"/>
  <c r="BM50" i="7"/>
  <c r="BL50" i="7"/>
  <c r="BM49" i="7"/>
  <c r="BL49" i="7"/>
  <c r="BM48" i="7"/>
  <c r="BL48" i="7"/>
  <c r="BJ50" i="7"/>
  <c r="BI50" i="7"/>
  <c r="BJ49" i="7"/>
  <c r="BI49" i="7"/>
  <c r="BJ48" i="7"/>
  <c r="BI48" i="7"/>
  <c r="BG50" i="7"/>
  <c r="BF50" i="7"/>
  <c r="BG49" i="7"/>
  <c r="BF49" i="7"/>
  <c r="BG48" i="7"/>
  <c r="BF48" i="7"/>
  <c r="BD50" i="7"/>
  <c r="BC50" i="7"/>
  <c r="BD49" i="7"/>
  <c r="BC49" i="7"/>
  <c r="BD48" i="7"/>
  <c r="BC48" i="7"/>
  <c r="BA50" i="7"/>
  <c r="AZ50" i="7"/>
  <c r="BA49" i="7"/>
  <c r="AZ49" i="7"/>
  <c r="BA48" i="7"/>
  <c r="AZ48" i="7"/>
  <c r="AX50" i="7"/>
  <c r="AW50" i="7"/>
  <c r="AX49" i="7"/>
  <c r="AW49" i="7"/>
  <c r="AX48" i="7"/>
  <c r="AW48" i="7"/>
  <c r="AU50" i="7"/>
  <c r="AT50" i="7"/>
  <c r="AU49" i="7"/>
  <c r="AT49" i="7"/>
  <c r="AU48" i="7"/>
  <c r="AT48" i="7"/>
  <c r="AR50" i="7"/>
  <c r="AQ50" i="7"/>
  <c r="AR49" i="7"/>
  <c r="AQ49" i="7"/>
  <c r="AR48" i="7"/>
  <c r="AQ48" i="7"/>
  <c r="AO50" i="7"/>
  <c r="AN50" i="7"/>
  <c r="AO49" i="7"/>
  <c r="AN49" i="7"/>
  <c r="AO48" i="7"/>
  <c r="AN48" i="7"/>
  <c r="AL50" i="7"/>
  <c r="AK50" i="7"/>
  <c r="AL49" i="7"/>
  <c r="AK49" i="7"/>
  <c r="AL48" i="7"/>
  <c r="AK48" i="7"/>
  <c r="AI50" i="7"/>
  <c r="AH50" i="7"/>
  <c r="AI49" i="7"/>
  <c r="AH49" i="7"/>
  <c r="AI48" i="7"/>
  <c r="AH48" i="7"/>
  <c r="AF50" i="7"/>
  <c r="AE50" i="7"/>
  <c r="AF49" i="7"/>
  <c r="AE49" i="7"/>
  <c r="AF48" i="7"/>
  <c r="AE48" i="7"/>
  <c r="AC50" i="7"/>
  <c r="AB50" i="7"/>
  <c r="AC49" i="7"/>
  <c r="AB49" i="7"/>
  <c r="AC48" i="7"/>
  <c r="AB48" i="7"/>
  <c r="Z50" i="7"/>
  <c r="Y50" i="7"/>
  <c r="Z49" i="7"/>
  <c r="Y49" i="7"/>
  <c r="Z48" i="7"/>
  <c r="Y48" i="7"/>
  <c r="W50" i="7"/>
  <c r="V50" i="7"/>
  <c r="W49" i="7"/>
  <c r="V49" i="7"/>
  <c r="W48" i="7"/>
  <c r="V48" i="7"/>
  <c r="T50" i="7"/>
  <c r="S50" i="7"/>
  <c r="T49" i="7"/>
  <c r="S49" i="7"/>
  <c r="T48" i="7"/>
  <c r="S48" i="7"/>
  <c r="N50" i="7"/>
  <c r="M50" i="7"/>
  <c r="N49" i="7"/>
  <c r="M49" i="7"/>
  <c r="N48" i="7"/>
  <c r="M48" i="7"/>
  <c r="K50" i="7"/>
  <c r="J50" i="7"/>
  <c r="K49" i="7"/>
  <c r="J49" i="7"/>
  <c r="K48" i="7"/>
  <c r="J21" i="7"/>
  <c r="J26" i="7"/>
  <c r="J15" i="7"/>
  <c r="J48" i="7"/>
  <c r="CB26" i="7"/>
  <c r="CA26" i="7"/>
  <c r="BY26" i="7"/>
  <c r="BX26" i="7"/>
  <c r="BV26" i="7"/>
  <c r="BU26" i="7"/>
  <c r="BS26" i="7"/>
  <c r="BR26" i="7"/>
  <c r="BP26" i="7"/>
  <c r="BO26" i="7"/>
  <c r="BM26" i="7"/>
  <c r="BL26" i="7"/>
  <c r="BJ26" i="7"/>
  <c r="BI26" i="7"/>
  <c r="BG26" i="7"/>
  <c r="BF26" i="7"/>
  <c r="BD26" i="7"/>
  <c r="BC26" i="7"/>
  <c r="BA26" i="7"/>
  <c r="AZ26" i="7"/>
  <c r="AX26" i="7"/>
  <c r="AW26" i="7"/>
  <c r="AU26" i="7"/>
  <c r="AT26" i="7"/>
  <c r="AR26" i="7"/>
  <c r="AQ26" i="7"/>
  <c r="AO26" i="7"/>
  <c r="AN26" i="7"/>
  <c r="AL26" i="7"/>
  <c r="AK26" i="7"/>
  <c r="AI26" i="7"/>
  <c r="AH26" i="7"/>
  <c r="AF26" i="7"/>
  <c r="AE26" i="7"/>
  <c r="AC26" i="7"/>
  <c r="AB26" i="7"/>
  <c r="Z26" i="7"/>
  <c r="Y26" i="7"/>
  <c r="W26" i="7"/>
  <c r="V26" i="7"/>
  <c r="T26" i="7"/>
  <c r="S26" i="7"/>
  <c r="Q26" i="7"/>
  <c r="P26" i="7"/>
  <c r="N26" i="7"/>
  <c r="M26" i="7"/>
  <c r="K26" i="7"/>
  <c r="CB21" i="7"/>
  <c r="CA21" i="7"/>
  <c r="BY21" i="7"/>
  <c r="BX21" i="7"/>
  <c r="BV21" i="7"/>
  <c r="BU21" i="7"/>
  <c r="BS21" i="7"/>
  <c r="BR21" i="7"/>
  <c r="BP21" i="7"/>
  <c r="BO21" i="7"/>
  <c r="BM21" i="7"/>
  <c r="BL21" i="7"/>
  <c r="BJ21" i="7"/>
  <c r="BI21" i="7"/>
  <c r="BG21" i="7"/>
  <c r="BF21" i="7"/>
  <c r="BD21" i="7"/>
  <c r="BC21" i="7"/>
  <c r="BA21" i="7"/>
  <c r="AZ21" i="7"/>
  <c r="AX21" i="7"/>
  <c r="AW21" i="7"/>
  <c r="AU21" i="7"/>
  <c r="AT21" i="7"/>
  <c r="AR21" i="7"/>
  <c r="AQ21" i="7"/>
  <c r="AO21" i="7"/>
  <c r="AN21" i="7"/>
  <c r="AL21" i="7"/>
  <c r="AK21" i="7"/>
  <c r="AI21" i="7"/>
  <c r="AH21" i="7"/>
  <c r="AF21" i="7"/>
  <c r="AE21" i="7"/>
  <c r="AC21" i="7"/>
  <c r="AB21" i="7"/>
  <c r="Z21" i="7"/>
  <c r="Y21" i="7"/>
  <c r="W21" i="7"/>
  <c r="V21" i="7"/>
  <c r="T21" i="7"/>
  <c r="S21" i="7"/>
  <c r="Q21" i="7"/>
  <c r="P21" i="7"/>
  <c r="N21" i="7"/>
  <c r="M21" i="7"/>
  <c r="K21" i="7"/>
  <c r="CB20" i="7"/>
  <c r="CA20" i="7"/>
  <c r="BY20" i="7"/>
  <c r="BX20" i="7"/>
  <c r="BV20" i="7"/>
  <c r="BU20" i="7"/>
  <c r="BS20" i="7"/>
  <c r="BR20" i="7"/>
  <c r="BP20" i="7"/>
  <c r="BO20" i="7"/>
  <c r="BM20" i="7"/>
  <c r="BL20" i="7"/>
  <c r="BJ20" i="7"/>
  <c r="BI20" i="7"/>
  <c r="BG20" i="7"/>
  <c r="BF20" i="7"/>
  <c r="BD20" i="7"/>
  <c r="BC20" i="7"/>
  <c r="BA20" i="7"/>
  <c r="AZ20" i="7"/>
  <c r="AX20" i="7"/>
  <c r="AW20" i="7"/>
  <c r="AU20" i="7"/>
  <c r="AT20" i="7"/>
  <c r="AR20" i="7"/>
  <c r="AQ20" i="7"/>
  <c r="AO20" i="7"/>
  <c r="AN20" i="7"/>
  <c r="AL20" i="7"/>
  <c r="AK20" i="7"/>
  <c r="AI20" i="7"/>
  <c r="AH20" i="7"/>
  <c r="AF20" i="7"/>
  <c r="AE20" i="7"/>
  <c r="AC20" i="7"/>
  <c r="AB20" i="7"/>
  <c r="Z20" i="7"/>
  <c r="Y20" i="7"/>
  <c r="W20" i="7"/>
  <c r="V20" i="7"/>
  <c r="T20" i="7"/>
  <c r="S20" i="7"/>
  <c r="Q20" i="7"/>
  <c r="P20" i="7"/>
  <c r="N20" i="7"/>
  <c r="M20" i="7"/>
  <c r="K20" i="7"/>
  <c r="J20" i="7"/>
  <c r="CB15" i="7"/>
  <c r="CA15" i="7"/>
  <c r="BY15" i="7"/>
  <c r="BX15" i="7"/>
  <c r="BV15" i="7"/>
  <c r="BU15" i="7"/>
  <c r="BS15" i="7"/>
  <c r="BR15" i="7"/>
  <c r="BP15" i="7"/>
  <c r="BO15" i="7"/>
  <c r="BM15" i="7"/>
  <c r="BL15" i="7"/>
  <c r="BJ15" i="7"/>
  <c r="BI15" i="7"/>
  <c r="BG15" i="7"/>
  <c r="BF15" i="7"/>
  <c r="BD15" i="7"/>
  <c r="BC15" i="7"/>
  <c r="BA15" i="7"/>
  <c r="AZ15" i="7"/>
  <c r="AX15" i="7"/>
  <c r="AW15" i="7"/>
  <c r="AU15" i="7"/>
  <c r="AT15" i="7"/>
  <c r="AR15" i="7"/>
  <c r="AQ15" i="7"/>
  <c r="AO15" i="7"/>
  <c r="AN15" i="7"/>
  <c r="AL15" i="7"/>
  <c r="AK15" i="7"/>
  <c r="AI15" i="7"/>
  <c r="AH15" i="7"/>
  <c r="AF15" i="7"/>
  <c r="AE15" i="7"/>
  <c r="AC15" i="7"/>
  <c r="AB15" i="7"/>
  <c r="Z15" i="7"/>
  <c r="Y15" i="7"/>
  <c r="W15" i="7"/>
  <c r="V15" i="7"/>
  <c r="T15" i="7"/>
  <c r="S15" i="7"/>
  <c r="Q15" i="7"/>
  <c r="P15" i="7"/>
  <c r="N15" i="7"/>
  <c r="M15" i="7"/>
  <c r="K15" i="7"/>
  <c r="CB14" i="7"/>
  <c r="CA14" i="7"/>
  <c r="BY14" i="7"/>
  <c r="BX14" i="7"/>
  <c r="BV14" i="7"/>
  <c r="BU14" i="7"/>
  <c r="BS14" i="7"/>
  <c r="BR14" i="7"/>
  <c r="BP14" i="7"/>
  <c r="BO14" i="7"/>
  <c r="BM14" i="7"/>
  <c r="BL14" i="7"/>
  <c r="BJ14" i="7"/>
  <c r="BI14" i="7"/>
  <c r="BG14" i="7"/>
  <c r="BF14" i="7"/>
  <c r="BD14" i="7"/>
  <c r="BC14" i="7"/>
  <c r="BA14" i="7"/>
  <c r="AZ14" i="7"/>
  <c r="AX14" i="7"/>
  <c r="AW14" i="7"/>
  <c r="AU14" i="7"/>
  <c r="AT14" i="7"/>
  <c r="AR14" i="7"/>
  <c r="AQ14" i="7"/>
  <c r="AO14" i="7"/>
  <c r="AN14" i="7"/>
  <c r="AL14" i="7"/>
  <c r="AK14" i="7"/>
  <c r="AI14" i="7"/>
  <c r="AH14" i="7"/>
  <c r="AF14" i="7"/>
  <c r="AE14" i="7"/>
  <c r="AC14" i="7"/>
  <c r="AB14" i="7"/>
  <c r="Z14" i="7"/>
  <c r="Y14" i="7"/>
  <c r="W14" i="7"/>
  <c r="V14" i="7"/>
  <c r="T14" i="7"/>
  <c r="S14" i="7"/>
  <c r="Q14" i="7"/>
  <c r="P14" i="7"/>
  <c r="N14" i="7"/>
  <c r="M14" i="7"/>
  <c r="K14" i="7"/>
  <c r="J14" i="7"/>
  <c r="CA14" i="10" l="1"/>
  <c r="BX14" i="10"/>
  <c r="BU20" i="10"/>
  <c r="BV14" i="10"/>
  <c r="BO14" i="10"/>
  <c r="CA20" i="10"/>
  <c r="BX20" i="10"/>
  <c r="BR20" i="10"/>
  <c r="BO20" i="10"/>
  <c r="BL20" i="10"/>
  <c r="BI20" i="10"/>
  <c r="BG14" i="10"/>
  <c r="BF20" i="10"/>
  <c r="AZ20" i="10"/>
  <c r="AX14" i="10"/>
  <c r="AU14" i="10"/>
  <c r="AT20" i="10"/>
  <c r="AQ14" i="10"/>
  <c r="AQ20" i="10"/>
  <c r="AO14" i="10"/>
  <c r="AH20" i="10"/>
  <c r="AE20" i="10"/>
  <c r="AB14" i="10"/>
  <c r="AB20" i="10"/>
  <c r="Y20" i="10"/>
  <c r="V20" i="10"/>
  <c r="S20" i="10"/>
  <c r="P20" i="10"/>
</calcChain>
</file>

<file path=xl/sharedStrings.xml><?xml version="1.0" encoding="utf-8"?>
<sst xmlns="http://schemas.openxmlformats.org/spreadsheetml/2006/main" count="5617" uniqueCount="2231">
  <si>
    <t>м.п.</t>
  </si>
  <si>
    <t>за каждый час</t>
  </si>
  <si>
    <t>Замер по трансформаторам</t>
  </si>
  <si>
    <t>1 час.</t>
  </si>
  <si>
    <t>2 час.</t>
  </si>
  <si>
    <t>24 час.</t>
  </si>
  <si>
    <t>Диспет.       наим.</t>
  </si>
  <si>
    <t xml:space="preserve"> Sном, МВА</t>
  </si>
  <si>
    <t>Наименование замера</t>
  </si>
  <si>
    <t>Ток ,      А</t>
  </si>
  <si>
    <t>Pнагр, МВт</t>
  </si>
  <si>
    <t>Qнагр, Мвар</t>
  </si>
  <si>
    <t>1Т</t>
  </si>
  <si>
    <t>Нагрузка</t>
  </si>
  <si>
    <t>Напряжение</t>
  </si>
  <si>
    <t>РПН</t>
  </si>
  <si>
    <t>2Т</t>
  </si>
  <si>
    <t>1ТСН</t>
  </si>
  <si>
    <t>2ТСН</t>
  </si>
  <si>
    <t>Итого</t>
  </si>
  <si>
    <t>Замер по ЛЭП</t>
  </si>
  <si>
    <t>Присоединение</t>
  </si>
  <si>
    <t>Уст.ЧАПВ</t>
  </si>
  <si>
    <t>Уст.АЧР</t>
  </si>
  <si>
    <t>герц</t>
  </si>
  <si>
    <t>сек</t>
  </si>
  <si>
    <t>1 С.Ш.</t>
  </si>
  <si>
    <t>2 С.Ш.</t>
  </si>
  <si>
    <t>Замер провел:</t>
  </si>
  <si>
    <t>Дата: 17.12.2014 г.</t>
  </si>
  <si>
    <t>___ кВ</t>
  </si>
  <si>
    <t>ПБВ</t>
  </si>
  <si>
    <t>cosϕ(__ кВ)=</t>
  </si>
  <si>
    <t>tgϕ(__ кВ)=</t>
  </si>
  <si>
    <t>Приложение № 1</t>
  </si>
  <si>
    <t>к приказу генерального директора ОАО «ЮРЭСК»</t>
  </si>
  <si>
    <t>№ ____ от «___» ______________2014 года</t>
  </si>
  <si>
    <t>Ведомость контрольного замера по ПС 110/35/10 кВ : "ГИБДД"</t>
  </si>
  <si>
    <t>35кВ</t>
  </si>
  <si>
    <t>10кВ</t>
  </si>
  <si>
    <t>"Ярки-2"</t>
  </si>
  <si>
    <t>"Ярки-1"</t>
  </si>
  <si>
    <t>яч. 11</t>
  </si>
  <si>
    <t>Ведомость контрольного замера по ПС 35/10 кВ : "Ярки"</t>
  </si>
  <si>
    <t>110 кВ</t>
  </si>
  <si>
    <t>35 кВ</t>
  </si>
  <si>
    <t>10 кВ</t>
  </si>
  <si>
    <t>0,4 кВ</t>
  </si>
  <si>
    <t>яч. 9</t>
  </si>
  <si>
    <t>яч. 13</t>
  </si>
  <si>
    <t>яч. 10</t>
  </si>
  <si>
    <t>ф."Ярки-1"</t>
  </si>
  <si>
    <t>ф."Кот. поселок"</t>
  </si>
  <si>
    <t>ф."Ярки-2"</t>
  </si>
  <si>
    <t xml:space="preserve"> 35 кВ</t>
  </si>
  <si>
    <t xml:space="preserve"> 110 кВ</t>
  </si>
  <si>
    <t>Ведомость контрольного замера по ПС 110/10 кВ : "Самарово"</t>
  </si>
  <si>
    <t>яч. 3</t>
  </si>
  <si>
    <t>ф."РП-32-1"</t>
  </si>
  <si>
    <t>яч. 5</t>
  </si>
  <si>
    <t>ф."ТП-306-1"</t>
  </si>
  <si>
    <t>яч. 7</t>
  </si>
  <si>
    <t>ф."Резерв-1"</t>
  </si>
  <si>
    <t>ф."Авангард-1"</t>
  </si>
  <si>
    <t>яч. 17</t>
  </si>
  <si>
    <t>ф."ТП-3102-1"</t>
  </si>
  <si>
    <t>ф."Иртыш-1"</t>
  </si>
  <si>
    <t>яч. 23</t>
  </si>
  <si>
    <t>яч. 21</t>
  </si>
  <si>
    <t>ф."РП-31-1"</t>
  </si>
  <si>
    <t>яч. 25</t>
  </si>
  <si>
    <t>ф."РП-30-1"</t>
  </si>
  <si>
    <t>яч. 4</t>
  </si>
  <si>
    <t>ф."ТП-306-2"</t>
  </si>
  <si>
    <t>яч. 6</t>
  </si>
  <si>
    <t>ф."Авангард-2"</t>
  </si>
  <si>
    <t>яч. 8</t>
  </si>
  <si>
    <t>ф."Резерв-2"</t>
  </si>
  <si>
    <t>яч. 16</t>
  </si>
  <si>
    <t>ф."ТП-3102-2"</t>
  </si>
  <si>
    <t>ф."РП-30-2"</t>
  </si>
  <si>
    <t>яч. 22</t>
  </si>
  <si>
    <t>яч. 18</t>
  </si>
  <si>
    <t>ф."Иртыш-2"</t>
  </si>
  <si>
    <t>яч. 24</t>
  </si>
  <si>
    <t>ф."РП-31-2"</t>
  </si>
  <si>
    <t>яч. 26</t>
  </si>
  <si>
    <t>ф."РП-32-2"</t>
  </si>
  <si>
    <t>Ведомость контрольного замера по ПС 110/10 кВ : "Западная"</t>
  </si>
  <si>
    <t>ф."РП-16-1"</t>
  </si>
  <si>
    <t>ф."ТП-404-1"</t>
  </si>
  <si>
    <t>ф."РП-41-1"</t>
  </si>
  <si>
    <t>яч. 15</t>
  </si>
  <si>
    <t>ф."РП-40-1"</t>
  </si>
  <si>
    <t>ф."РП-40-2"</t>
  </si>
  <si>
    <t>ф."РП-16-2"</t>
  </si>
  <si>
    <t>ф."РП-41-2"</t>
  </si>
  <si>
    <t>яч. 12</t>
  </si>
  <si>
    <t>ф."ТП-404-2"</t>
  </si>
  <si>
    <t>яч. 14</t>
  </si>
  <si>
    <t>ф."ТП-405-2"</t>
  </si>
  <si>
    <t>ф."ТП-405-1"</t>
  </si>
  <si>
    <t>3 час.</t>
  </si>
  <si>
    <t>4 час.</t>
  </si>
  <si>
    <t>5 час.</t>
  </si>
  <si>
    <t>6 час.</t>
  </si>
  <si>
    <t>7 час.</t>
  </si>
  <si>
    <t>9 час.</t>
  </si>
  <si>
    <t>8 час.</t>
  </si>
  <si>
    <t>10 час.</t>
  </si>
  <si>
    <t>11 час.</t>
  </si>
  <si>
    <t>12 час.</t>
  </si>
  <si>
    <t>13 час.</t>
  </si>
  <si>
    <t>14 час.</t>
  </si>
  <si>
    <t>15 час.</t>
  </si>
  <si>
    <t>16 час.</t>
  </si>
  <si>
    <t>17 час.</t>
  </si>
  <si>
    <t>18 час.</t>
  </si>
  <si>
    <t>19 час.</t>
  </si>
  <si>
    <t>20 час.</t>
  </si>
  <si>
    <t>21 час.</t>
  </si>
  <si>
    <t>22 час.</t>
  </si>
  <si>
    <t>23 час.</t>
  </si>
  <si>
    <t>ф."Шапша-1"</t>
  </si>
  <si>
    <t>-</t>
  </si>
  <si>
    <t>Ужегов Н. С.</t>
  </si>
  <si>
    <t>Ужегов Н.С.</t>
  </si>
  <si>
    <t>Ведомость контрольного замера по ПС: Пионерная-2</t>
  </si>
  <si>
    <t>Дата: 18.06.2014 г.</t>
  </si>
  <si>
    <t>3час.</t>
  </si>
  <si>
    <t>02889,279</t>
  </si>
  <si>
    <t>00889,736</t>
  </si>
  <si>
    <t>02889,346</t>
  </si>
  <si>
    <t>00889,753</t>
  </si>
  <si>
    <t>02889,401</t>
  </si>
  <si>
    <t>00889,767</t>
  </si>
  <si>
    <t>02889,456</t>
  </si>
  <si>
    <t>00889,781</t>
  </si>
  <si>
    <t>02889,511</t>
  </si>
  <si>
    <t>00889,795</t>
  </si>
  <si>
    <t>02889,564</t>
  </si>
  <si>
    <t>00889,807</t>
  </si>
  <si>
    <t>02889,709</t>
  </si>
  <si>
    <t>00889,843</t>
  </si>
  <si>
    <t>02889,788</t>
  </si>
  <si>
    <t>00889,863</t>
  </si>
  <si>
    <t>02889,842</t>
  </si>
  <si>
    <t>00889,875</t>
  </si>
  <si>
    <t>02889,930</t>
  </si>
  <si>
    <t>00889,8896</t>
  </si>
  <si>
    <t>02890</t>
  </si>
  <si>
    <t>00889,912</t>
  </si>
  <si>
    <t>02890,098</t>
  </si>
  <si>
    <t>00889,934</t>
  </si>
  <si>
    <t>02890,189</t>
  </si>
  <si>
    <t>00889,955</t>
  </si>
  <si>
    <t>02890,262</t>
  </si>
  <si>
    <t>00889,972</t>
  </si>
  <si>
    <t>02890,387</t>
  </si>
  <si>
    <t>89,999</t>
  </si>
  <si>
    <t>02890,480</t>
  </si>
  <si>
    <t>90,022</t>
  </si>
  <si>
    <t>02890,572</t>
  </si>
  <si>
    <t>90,043</t>
  </si>
  <si>
    <t>02890,665</t>
  </si>
  <si>
    <t>90,064</t>
  </si>
  <si>
    <t>02890,766</t>
  </si>
  <si>
    <t>02890,085</t>
  </si>
  <si>
    <t>02890,867</t>
  </si>
  <si>
    <t>02890,107</t>
  </si>
  <si>
    <t>02890,963</t>
  </si>
  <si>
    <t>02890,122</t>
  </si>
  <si>
    <t>02891,029</t>
  </si>
  <si>
    <t>02890,143</t>
  </si>
  <si>
    <t>02891,102</t>
  </si>
  <si>
    <t>02890,160</t>
  </si>
  <si>
    <t>02891,161</t>
  </si>
  <si>
    <t>02890,174</t>
  </si>
  <si>
    <t>184</t>
  </si>
  <si>
    <t>007311,40</t>
  </si>
  <si>
    <t>001768,31</t>
  </si>
  <si>
    <t>007311,49</t>
  </si>
  <si>
    <t>001768,32</t>
  </si>
  <si>
    <t>007311,59</t>
  </si>
  <si>
    <t>001768,33</t>
  </si>
  <si>
    <t>007311,70</t>
  </si>
  <si>
    <t>001768,34</t>
  </si>
  <si>
    <t>007311,80</t>
  </si>
  <si>
    <t>001768,36</t>
  </si>
  <si>
    <t>007311,90</t>
  </si>
  <si>
    <t>001768,37</t>
  </si>
  <si>
    <t>007312,12</t>
  </si>
  <si>
    <t>001768,38</t>
  </si>
  <si>
    <t>007312,27</t>
  </si>
  <si>
    <t>001768,41</t>
  </si>
  <si>
    <t>007312,37</t>
  </si>
  <si>
    <t>001768,42</t>
  </si>
  <si>
    <t>007312,54</t>
  </si>
  <si>
    <t>001768,43</t>
  </si>
  <si>
    <t>007312,68</t>
  </si>
  <si>
    <t>001768,45</t>
  </si>
  <si>
    <t>007312,88</t>
  </si>
  <si>
    <t>001768,47</t>
  </si>
  <si>
    <t>007313,06</t>
  </si>
  <si>
    <t>001768,48</t>
  </si>
  <si>
    <t>007313,20</t>
  </si>
  <si>
    <t>001768,50</t>
  </si>
  <si>
    <t>007313,46</t>
  </si>
  <si>
    <t>001768,52</t>
  </si>
  <si>
    <t>007313,65</t>
  </si>
  <si>
    <t>001768,55</t>
  </si>
  <si>
    <t>007313,84</t>
  </si>
  <si>
    <t>001768,57</t>
  </si>
  <si>
    <t>007314,03</t>
  </si>
  <si>
    <t>001768,58</t>
  </si>
  <si>
    <t>007314,24</t>
  </si>
  <si>
    <t>001768,60</t>
  </si>
  <si>
    <t>007314,41</t>
  </si>
  <si>
    <t>001768,62</t>
  </si>
  <si>
    <t>007314,62</t>
  </si>
  <si>
    <t>001768,64</t>
  </si>
  <si>
    <t>007314,78</t>
  </si>
  <si>
    <t>001768,66</t>
  </si>
  <si>
    <t>007314,92</t>
  </si>
  <si>
    <t>001768,68</t>
  </si>
  <si>
    <t>007315,04</t>
  </si>
  <si>
    <t>001768,69</t>
  </si>
  <si>
    <t>6 кВ</t>
  </si>
  <si>
    <t>012758,71</t>
  </si>
  <si>
    <t>004894,77</t>
  </si>
  <si>
    <t>012758,86</t>
  </si>
  <si>
    <t>004894,81</t>
  </si>
  <si>
    <t>012758,99</t>
  </si>
  <si>
    <t>004894,85</t>
  </si>
  <si>
    <t>012759,13</t>
  </si>
  <si>
    <t>004894,89</t>
  </si>
  <si>
    <t>012759,27</t>
  </si>
  <si>
    <t>004894,94</t>
  </si>
  <si>
    <t>012759,41</t>
  </si>
  <si>
    <t>004894,98</t>
  </si>
  <si>
    <t>012759,68</t>
  </si>
  <si>
    <t>004895,05</t>
  </si>
  <si>
    <t>012759,88</t>
  </si>
  <si>
    <t>004895,11</t>
  </si>
  <si>
    <t>012760,01</t>
  </si>
  <si>
    <t>004895,15</t>
  </si>
  <si>
    <t>012760,23</t>
  </si>
  <si>
    <t>004895,21</t>
  </si>
  <si>
    <t>012760,41</t>
  </si>
  <si>
    <t>004895,25</t>
  </si>
  <si>
    <t>012760,64</t>
  </si>
  <si>
    <t>004895,31</t>
  </si>
  <si>
    <t>012760,86</t>
  </si>
  <si>
    <t>004895,37</t>
  </si>
  <si>
    <t>012760,97</t>
  </si>
  <si>
    <t>004895,40</t>
  </si>
  <si>
    <t>012761,31</t>
  </si>
  <si>
    <t>004895,49</t>
  </si>
  <si>
    <t>012761,55</t>
  </si>
  <si>
    <t>004895,56</t>
  </si>
  <si>
    <t>012761,78</t>
  </si>
  <si>
    <t>004895,62</t>
  </si>
  <si>
    <t>012762,00</t>
  </si>
  <si>
    <t>004895,67</t>
  </si>
  <si>
    <t>012762,25</t>
  </si>
  <si>
    <t>004895,74</t>
  </si>
  <si>
    <t>012762,49</t>
  </si>
  <si>
    <t>004895,79</t>
  </si>
  <si>
    <t>012762,70</t>
  </si>
  <si>
    <t>004895,85</t>
  </si>
  <si>
    <t>012762,87</t>
  </si>
  <si>
    <t>004895,89</t>
  </si>
  <si>
    <t>012763,05</t>
  </si>
  <si>
    <t>004895,94</t>
  </si>
  <si>
    <t>012763,19</t>
  </si>
  <si>
    <t>004895,98</t>
  </si>
  <si>
    <t>03701,694</t>
  </si>
  <si>
    <t>01304,689</t>
  </si>
  <si>
    <t>03701,763</t>
  </si>
  <si>
    <t>01304,711</t>
  </si>
  <si>
    <t>03701,821</t>
  </si>
  <si>
    <t>01304,731</t>
  </si>
  <si>
    <t>03701,877</t>
  </si>
  <si>
    <t>01304,749</t>
  </si>
  <si>
    <t>03701,934</t>
  </si>
  <si>
    <t>01304,767</t>
  </si>
  <si>
    <t>03701,990</t>
  </si>
  <si>
    <t>01304,783</t>
  </si>
  <si>
    <t>03702,151</t>
  </si>
  <si>
    <t>01304,831</t>
  </si>
  <si>
    <t>03702,237</t>
  </si>
  <si>
    <t>01304,856</t>
  </si>
  <si>
    <t>03702,296</t>
  </si>
  <si>
    <t>01304,872</t>
  </si>
  <si>
    <t>03702,392</t>
  </si>
  <si>
    <t>01304,899</t>
  </si>
  <si>
    <t>03702,466</t>
  </si>
  <si>
    <t>01304,920</t>
  </si>
  <si>
    <t>03702,571</t>
  </si>
  <si>
    <t>01304,950</t>
  </si>
  <si>
    <t>03702,665</t>
  </si>
  <si>
    <t>01304,977</t>
  </si>
  <si>
    <t>03702,746</t>
  </si>
  <si>
    <t>01304,999</t>
  </si>
  <si>
    <t>03702,880</t>
  </si>
  <si>
    <t>01305,037</t>
  </si>
  <si>
    <t>03702,979</t>
  </si>
  <si>
    <t>01305,065</t>
  </si>
  <si>
    <t>03703,078</t>
  </si>
  <si>
    <t>01305,092</t>
  </si>
  <si>
    <t>03703,178</t>
  </si>
  <si>
    <t>01305,118</t>
  </si>
  <si>
    <t>03703,281</t>
  </si>
  <si>
    <t>01305,141</t>
  </si>
  <si>
    <t>03703,392</t>
  </si>
  <si>
    <t>01305,173</t>
  </si>
  <si>
    <t>03703,490</t>
  </si>
  <si>
    <t>01305,198</t>
  </si>
  <si>
    <t>03703,560</t>
  </si>
  <si>
    <t>01305,217</t>
  </si>
  <si>
    <t>03703,638</t>
  </si>
  <si>
    <t>01305,240</t>
  </si>
  <si>
    <t>03703,699</t>
  </si>
  <si>
    <t>01305,260</t>
  </si>
  <si>
    <t>135</t>
  </si>
  <si>
    <t>007692,44</t>
  </si>
  <si>
    <t>002075,04</t>
  </si>
  <si>
    <t>007692,51</t>
  </si>
  <si>
    <t>002075,06</t>
  </si>
  <si>
    <t>007692,59</t>
  </si>
  <si>
    <t>002075,07</t>
  </si>
  <si>
    <t>007692,66</t>
  </si>
  <si>
    <t>002075,08</t>
  </si>
  <si>
    <t>007692,74</t>
  </si>
  <si>
    <t>002075,09</t>
  </si>
  <si>
    <t>007692,83</t>
  </si>
  <si>
    <t>002075,10</t>
  </si>
  <si>
    <t>007693,01</t>
  </si>
  <si>
    <t>002075,13</t>
  </si>
  <si>
    <t>007693,13</t>
  </si>
  <si>
    <t>002075,15</t>
  </si>
  <si>
    <t>007693,22</t>
  </si>
  <si>
    <t>002075,16</t>
  </si>
  <si>
    <t>007693,36</t>
  </si>
  <si>
    <t>002075,18</t>
  </si>
  <si>
    <t>007693,48</t>
  </si>
  <si>
    <t>002075,19</t>
  </si>
  <si>
    <t>007693,63</t>
  </si>
  <si>
    <t>002075,22</t>
  </si>
  <si>
    <t>007693,78</t>
  </si>
  <si>
    <t>002075,24</t>
  </si>
  <si>
    <t>007693,88</t>
  </si>
  <si>
    <t>002075,25</t>
  </si>
  <si>
    <t>007694,09</t>
  </si>
  <si>
    <t>007694,24</t>
  </si>
  <si>
    <t>002075,30</t>
  </si>
  <si>
    <t>007694,39</t>
  </si>
  <si>
    <t>002075,32</t>
  </si>
  <si>
    <t>007694,55</t>
  </si>
  <si>
    <t>002075,34</t>
  </si>
  <si>
    <t>007694,71</t>
  </si>
  <si>
    <t>002075,36</t>
  </si>
  <si>
    <t>007694,86</t>
  </si>
  <si>
    <t>002075,38</t>
  </si>
  <si>
    <t>007695,01</t>
  </si>
  <si>
    <t>002075,40</t>
  </si>
  <si>
    <t>007695,12</t>
  </si>
  <si>
    <t>002075,42</t>
  </si>
  <si>
    <t>007695,23</t>
  </si>
  <si>
    <t>002075,44</t>
  </si>
  <si>
    <t>007695,31</t>
  </si>
  <si>
    <t>002075,45</t>
  </si>
  <si>
    <t>511</t>
  </si>
  <si>
    <t>017780,84</t>
  </si>
  <si>
    <t>006635,72</t>
  </si>
  <si>
    <t>017781,01</t>
  </si>
  <si>
    <t>006635,79</t>
  </si>
  <si>
    <t>017781,18</t>
  </si>
  <si>
    <t>006635,85</t>
  </si>
  <si>
    <t>017781,35</t>
  </si>
  <si>
    <t>006635,91</t>
  </si>
  <si>
    <t>017781,52</t>
  </si>
  <si>
    <t>006635,97</t>
  </si>
  <si>
    <t>017781,70</t>
  </si>
  <si>
    <t>006636,02</t>
  </si>
  <si>
    <t>017782,08</t>
  </si>
  <si>
    <t>006636,14</t>
  </si>
  <si>
    <t>017782,34</t>
  </si>
  <si>
    <t>006636,21</t>
  </si>
  <si>
    <t>017782,51</t>
  </si>
  <si>
    <t>006636,26</t>
  </si>
  <si>
    <t>017782,79</t>
  </si>
  <si>
    <t>006636,34</t>
  </si>
  <si>
    <t>017783,01</t>
  </si>
  <si>
    <t>006636,41</t>
  </si>
  <si>
    <t>017783,31</t>
  </si>
  <si>
    <t>006636,49</t>
  </si>
  <si>
    <t>017783,60</t>
  </si>
  <si>
    <t>006636,57</t>
  </si>
  <si>
    <t>017783,79</t>
  </si>
  <si>
    <t>006636,63</t>
  </si>
  <si>
    <t>017784,21</t>
  </si>
  <si>
    <t>006636,75</t>
  </si>
  <si>
    <t>017784,52</t>
  </si>
  <si>
    <t>006636,83</t>
  </si>
  <si>
    <t>017784,81</t>
  </si>
  <si>
    <t>006636,91</t>
  </si>
  <si>
    <t>017785,10</t>
  </si>
  <si>
    <t>006637,00</t>
  </si>
  <si>
    <t>017785,40</t>
  </si>
  <si>
    <t>006637,07</t>
  </si>
  <si>
    <t>017785,71</t>
  </si>
  <si>
    <t>006637,13</t>
  </si>
  <si>
    <t>017786,00</t>
  </si>
  <si>
    <t>006637,21</t>
  </si>
  <si>
    <t>017786,23</t>
  </si>
  <si>
    <t>006637,27</t>
  </si>
  <si>
    <t>017786,46</t>
  </si>
  <si>
    <t>006637,34</t>
  </si>
  <si>
    <t>017786,66</t>
  </si>
  <si>
    <t>006637,40</t>
  </si>
  <si>
    <t>6,2</t>
  </si>
  <si>
    <t>6,1</t>
  </si>
  <si>
    <t>,2</t>
  </si>
  <si>
    <t>6,3</t>
  </si>
  <si>
    <t>299,57</t>
  </si>
  <si>
    <t>299,81</t>
  </si>
  <si>
    <t>299,99</t>
  </si>
  <si>
    <t>300,15</t>
  </si>
  <si>
    <t>300,34</t>
  </si>
  <si>
    <t>300,49</t>
  </si>
  <si>
    <t>300,88</t>
  </si>
  <si>
    <t>301,05</t>
  </si>
  <si>
    <t>301,15</t>
  </si>
  <si>
    <t>301,33</t>
  </si>
  <si>
    <t>301,50</t>
  </si>
  <si>
    <t>301,67</t>
  </si>
  <si>
    <t>301,85</t>
  </si>
  <si>
    <t>302,00</t>
  </si>
  <si>
    <t>302,24</t>
  </si>
  <si>
    <t>302,42</t>
  </si>
  <si>
    <t>302,60</t>
  </si>
  <si>
    <t>302,78</t>
  </si>
  <si>
    <t>302,96</t>
  </si>
  <si>
    <t>303,16</t>
  </si>
  <si>
    <t>303,32</t>
  </si>
  <si>
    <t>303,49</t>
  </si>
  <si>
    <t>303,68</t>
  </si>
  <si>
    <t>303,84</t>
  </si>
  <si>
    <t>206,82</t>
  </si>
  <si>
    <t>207,02</t>
  </si>
  <si>
    <t>207,20</t>
  </si>
  <si>
    <t>207,37</t>
  </si>
  <si>
    <t>207,54</t>
  </si>
  <si>
    <t>207,68</t>
  </si>
  <si>
    <t>208,04</t>
  </si>
  <si>
    <t>208,21</t>
  </si>
  <si>
    <t>208,33</t>
  </si>
  <si>
    <t>208,51</t>
  </si>
  <si>
    <t>208,74</t>
  </si>
  <si>
    <t>209,12</t>
  </si>
  <si>
    <t>209,46</t>
  </si>
  <si>
    <t>209,75</t>
  </si>
  <si>
    <t>210,21</t>
  </si>
  <si>
    <t>210,53</t>
  </si>
  <si>
    <t>210,84</t>
  </si>
  <si>
    <t>211,16</t>
  </si>
  <si>
    <t>211,51</t>
  </si>
  <si>
    <t>211,89</t>
  </si>
  <si>
    <t>212,26</t>
  </si>
  <si>
    <t>212,56</t>
  </si>
  <si>
    <t>212,93</t>
  </si>
  <si>
    <t>213,27</t>
  </si>
  <si>
    <t>cosϕ(10)=</t>
  </si>
  <si>
    <t>tgϕ(10)=</t>
  </si>
  <si>
    <t>cosϕ(6)=</t>
  </si>
  <si>
    <t>tgϕ(6)=</t>
  </si>
  <si>
    <t>яч.3</t>
  </si>
  <si>
    <t>ф."ТП-218 яч.6"</t>
  </si>
  <si>
    <t>001204,40</t>
  </si>
  <si>
    <t>000278,29</t>
  </si>
  <si>
    <t>001204,42</t>
  </si>
  <si>
    <t>001204,43</t>
  </si>
  <si>
    <t>001204,45</t>
  </si>
  <si>
    <t>001204,47</t>
  </si>
  <si>
    <t>001204,48</t>
  </si>
  <si>
    <t>001204,51</t>
  </si>
  <si>
    <t>000278,30</t>
  </si>
  <si>
    <t>001204,54</t>
  </si>
  <si>
    <t>001204,56</t>
  </si>
  <si>
    <t>000278,31</t>
  </si>
  <si>
    <t>001204,59</t>
  </si>
  <si>
    <t>001204,62</t>
  </si>
  <si>
    <t>000278,32</t>
  </si>
  <si>
    <t>01693</t>
  </si>
  <si>
    <t>001204,69</t>
  </si>
  <si>
    <t>000278,33</t>
  </si>
  <si>
    <t>001204,71</t>
  </si>
  <si>
    <t>001204,76</t>
  </si>
  <si>
    <t>000278,34</t>
  </si>
  <si>
    <t>001204,80</t>
  </si>
  <si>
    <t>000278,35</t>
  </si>
  <si>
    <t>001204,84</t>
  </si>
  <si>
    <t>001204,87</t>
  </si>
  <si>
    <t>000278,36</t>
  </si>
  <si>
    <t>001204,89</t>
  </si>
  <si>
    <t>001204,92</t>
  </si>
  <si>
    <t>001204,94</t>
  </si>
  <si>
    <t>001204,95</t>
  </si>
  <si>
    <t>001204,97</t>
  </si>
  <si>
    <t>001204,99</t>
  </si>
  <si>
    <t>яч.5</t>
  </si>
  <si>
    <t>ф."РП-101 яч.4"</t>
  </si>
  <si>
    <t>87</t>
  </si>
  <si>
    <t>018617,62</t>
  </si>
  <si>
    <t>009306,35</t>
  </si>
  <si>
    <t>018617,75</t>
  </si>
  <si>
    <t>009306,41</t>
  </si>
  <si>
    <t>018617,86</t>
  </si>
  <si>
    <t>009306,46</t>
  </si>
  <si>
    <t>018617,98</t>
  </si>
  <si>
    <t>009306,51</t>
  </si>
  <si>
    <t>018618,09</t>
  </si>
  <si>
    <t>009306,56</t>
  </si>
  <si>
    <t>018618,21</t>
  </si>
  <si>
    <t>009306,61</t>
  </si>
  <si>
    <t>018618,45</t>
  </si>
  <si>
    <t>009306,69</t>
  </si>
  <si>
    <t>018618,66</t>
  </si>
  <si>
    <t>009306,77</t>
  </si>
  <si>
    <t>018618,80</t>
  </si>
  <si>
    <t>009306,81</t>
  </si>
  <si>
    <t>018618,99</t>
  </si>
  <si>
    <t>009306,89</t>
  </si>
  <si>
    <t>018619,18</t>
  </si>
  <si>
    <t>009306,94</t>
  </si>
  <si>
    <t>018619,40</t>
  </si>
  <si>
    <t>009307,02</t>
  </si>
  <si>
    <t>018619,62</t>
  </si>
  <si>
    <t>009307,09</t>
  </si>
  <si>
    <t>018619,72</t>
  </si>
  <si>
    <t>009307,12</t>
  </si>
  <si>
    <t>018619,99</t>
  </si>
  <si>
    <t>009307,23</t>
  </si>
  <si>
    <t>0186120,28</t>
  </si>
  <si>
    <t>009307,30</t>
  </si>
  <si>
    <t>0186120,50</t>
  </si>
  <si>
    <t>009307,37</t>
  </si>
  <si>
    <t>0186120,71</t>
  </si>
  <si>
    <t>009307,43</t>
  </si>
  <si>
    <t>0186120,98</t>
  </si>
  <si>
    <t>009307,51</t>
  </si>
  <si>
    <t>0186121,21</t>
  </si>
  <si>
    <t>009307,58</t>
  </si>
  <si>
    <t>0186121,41</t>
  </si>
  <si>
    <t>009307,64</t>
  </si>
  <si>
    <t>0186121,57</t>
  </si>
  <si>
    <t>009307,69</t>
  </si>
  <si>
    <t>0186121,73</t>
  </si>
  <si>
    <t>009307,75</t>
  </si>
  <si>
    <t>0186121,85</t>
  </si>
  <si>
    <t>009307,80</t>
  </si>
  <si>
    <t>яч.7</t>
  </si>
  <si>
    <t>ф."ТП-525 яч.3"</t>
  </si>
  <si>
    <t>1</t>
  </si>
  <si>
    <t>002257,70</t>
  </si>
  <si>
    <t>001375,76</t>
  </si>
  <si>
    <t>002257,72</t>
  </si>
  <si>
    <t>001375,78</t>
  </si>
  <si>
    <t>002257,73</t>
  </si>
  <si>
    <t>001375,79</t>
  </si>
  <si>
    <t>002257,76</t>
  </si>
  <si>
    <t>001375,80</t>
  </si>
  <si>
    <t>002257,79</t>
  </si>
  <si>
    <t>001375,81</t>
  </si>
  <si>
    <t>002257,81</t>
  </si>
  <si>
    <t>001375,82</t>
  </si>
  <si>
    <t>002257,86</t>
  </si>
  <si>
    <t>001375,85</t>
  </si>
  <si>
    <t>002257,89</t>
  </si>
  <si>
    <t>001375,86</t>
  </si>
  <si>
    <t>002257,90</t>
  </si>
  <si>
    <t>001375,87</t>
  </si>
  <si>
    <t>002257,92</t>
  </si>
  <si>
    <t>001375,89</t>
  </si>
  <si>
    <t>002257,94</t>
  </si>
  <si>
    <t>001375,90</t>
  </si>
  <si>
    <t>002257,96</t>
  </si>
  <si>
    <t>001375,91</t>
  </si>
  <si>
    <t>002257,99</t>
  </si>
  <si>
    <t>001375,93</t>
  </si>
  <si>
    <t>002258,00</t>
  </si>
  <si>
    <t>002258,03</t>
  </si>
  <si>
    <t>001375,96</t>
  </si>
  <si>
    <t>002258,06</t>
  </si>
  <si>
    <t>001375,98</t>
  </si>
  <si>
    <t>002258,08</t>
  </si>
  <si>
    <t>001375,99</t>
  </si>
  <si>
    <t>002258,11</t>
  </si>
  <si>
    <t>001376,01</t>
  </si>
  <si>
    <t>002258,15</t>
  </si>
  <si>
    <t>001376,03</t>
  </si>
  <si>
    <t>002258,19</t>
  </si>
  <si>
    <t>001376,06</t>
  </si>
  <si>
    <t>002258,23</t>
  </si>
  <si>
    <t>001376,09</t>
  </si>
  <si>
    <t>002258,26</t>
  </si>
  <si>
    <t>001376,11</t>
  </si>
  <si>
    <t>002258,29</t>
  </si>
  <si>
    <t>001376,14</t>
  </si>
  <si>
    <t>002258,32</t>
  </si>
  <si>
    <t>яч.9</t>
  </si>
  <si>
    <t>ф."ТП-216 яч.3"</t>
  </si>
  <si>
    <t>15</t>
  </si>
  <si>
    <t>004391,54</t>
  </si>
  <si>
    <t>002070,54</t>
  </si>
  <si>
    <t>004391,58</t>
  </si>
  <si>
    <t>002070,57</t>
  </si>
  <si>
    <t>004391,62</t>
  </si>
  <si>
    <t>002070,59</t>
  </si>
  <si>
    <t>004391,66</t>
  </si>
  <si>
    <t>002070,61</t>
  </si>
  <si>
    <t>004391,69</t>
  </si>
  <si>
    <t>002070,63</t>
  </si>
  <si>
    <t>004391,73</t>
  </si>
  <si>
    <t>002070,65</t>
  </si>
  <si>
    <t>004391,80</t>
  </si>
  <si>
    <t>002070,69</t>
  </si>
  <si>
    <t>004391,90</t>
  </si>
  <si>
    <t>002070,74</t>
  </si>
  <si>
    <t>004391,99</t>
  </si>
  <si>
    <t>002070,77</t>
  </si>
  <si>
    <t>004392,14</t>
  </si>
  <si>
    <t>002070,83</t>
  </si>
  <si>
    <t>004392,25</t>
  </si>
  <si>
    <t>002070,87</t>
  </si>
  <si>
    <t>004392,40</t>
  </si>
  <si>
    <t>002070,92</t>
  </si>
  <si>
    <t>004392,55</t>
  </si>
  <si>
    <t>002070,97</t>
  </si>
  <si>
    <t>004392,62</t>
  </si>
  <si>
    <t>002071,00</t>
  </si>
  <si>
    <t>004392,85</t>
  </si>
  <si>
    <t>002071,08</t>
  </si>
  <si>
    <t>004393,00</t>
  </si>
  <si>
    <t>002071,14</t>
  </si>
  <si>
    <t>004393,14</t>
  </si>
  <si>
    <t>002071,19</t>
  </si>
  <si>
    <t>004393,28</t>
  </si>
  <si>
    <t>002071,24</t>
  </si>
  <si>
    <t>004393,41</t>
  </si>
  <si>
    <t>002071,30</t>
  </si>
  <si>
    <t>004393,52</t>
  </si>
  <si>
    <t>002071,35</t>
  </si>
  <si>
    <t>004393,58</t>
  </si>
  <si>
    <t>002071,37</t>
  </si>
  <si>
    <t>004393,67</t>
  </si>
  <si>
    <t>002071,40</t>
  </si>
  <si>
    <t>004393,71</t>
  </si>
  <si>
    <t>002071,42</t>
  </si>
  <si>
    <t>004393,74</t>
  </si>
  <si>
    <t>002071,44</t>
  </si>
  <si>
    <t>яч.11</t>
  </si>
  <si>
    <t>ф."ТП-211 яч.4"</t>
  </si>
  <si>
    <t>0</t>
  </si>
  <si>
    <t>000237,39</t>
  </si>
  <si>
    <t>000371,59</t>
  </si>
  <si>
    <t>000371,60</t>
  </si>
  <si>
    <t>000371,61</t>
  </si>
  <si>
    <t>000371,62</t>
  </si>
  <si>
    <t>000371,63</t>
  </si>
  <si>
    <t>000371,64</t>
  </si>
  <si>
    <t>00371,65</t>
  </si>
  <si>
    <t>00371,66</t>
  </si>
  <si>
    <t>00371,67</t>
  </si>
  <si>
    <t>00371,68</t>
  </si>
  <si>
    <t>яч.13</t>
  </si>
  <si>
    <t>ф."ТП-ИОЦ яч.2"</t>
  </si>
  <si>
    <t>85,67</t>
  </si>
  <si>
    <t>5,41</t>
  </si>
  <si>
    <t>85,72</t>
  </si>
  <si>
    <t>85,77</t>
  </si>
  <si>
    <t>85,81</t>
  </si>
  <si>
    <t>85,86</t>
  </si>
  <si>
    <t>85,90</t>
  </si>
  <si>
    <t>85,96</t>
  </si>
  <si>
    <t>5,42</t>
  </si>
  <si>
    <t>86,01</t>
  </si>
  <si>
    <t>5,44</t>
  </si>
  <si>
    <t>86,04</t>
  </si>
  <si>
    <t>86,09</t>
  </si>
  <si>
    <t>5,45</t>
  </si>
  <si>
    <t>86,12</t>
  </si>
  <si>
    <t>5,46</t>
  </si>
  <si>
    <t>86,17</t>
  </si>
  <si>
    <t>5,47</t>
  </si>
  <si>
    <t>86,22</t>
  </si>
  <si>
    <t>5,48</t>
  </si>
  <si>
    <t>86,26</t>
  </si>
  <si>
    <t>5,49</t>
  </si>
  <si>
    <t>86,32</t>
  </si>
  <si>
    <t>86,37</t>
  </si>
  <si>
    <t>5,51</t>
  </si>
  <si>
    <t>86,42</t>
  </si>
  <si>
    <t>5,52</t>
  </si>
  <si>
    <t>86,46</t>
  </si>
  <si>
    <t>5,53</t>
  </si>
  <si>
    <t>86,52</t>
  </si>
  <si>
    <t>5,55</t>
  </si>
  <si>
    <t>86,58</t>
  </si>
  <si>
    <t>5,56</t>
  </si>
  <si>
    <t>86,63</t>
  </si>
  <si>
    <t>5,57</t>
  </si>
  <si>
    <t>86,68</t>
  </si>
  <si>
    <t>5,58</t>
  </si>
  <si>
    <t>86,73</t>
  </si>
  <si>
    <t>5,59</t>
  </si>
  <si>
    <t>86,77</t>
  </si>
  <si>
    <t>яч.15</t>
  </si>
  <si>
    <t>ф."КТПН-600 яч.1"</t>
  </si>
  <si>
    <t>40</t>
  </si>
  <si>
    <t>005962,82</t>
  </si>
  <si>
    <t>001291,69</t>
  </si>
  <si>
    <t>005962,95</t>
  </si>
  <si>
    <t>001291,71</t>
  </si>
  <si>
    <t>005963,06</t>
  </si>
  <si>
    <t>001291,74</t>
  </si>
  <si>
    <t>005963,17</t>
  </si>
  <si>
    <t>001291,76</t>
  </si>
  <si>
    <t>005963,28</t>
  </si>
  <si>
    <t>001291,79</t>
  </si>
  <si>
    <t>005963,40</t>
  </si>
  <si>
    <t>001291,81</t>
  </si>
  <si>
    <t>005963,61</t>
  </si>
  <si>
    <t>001291,85</t>
  </si>
  <si>
    <t>005963,75</t>
  </si>
  <si>
    <t>001291,88</t>
  </si>
  <si>
    <t>005963,84</t>
  </si>
  <si>
    <t>001291,90</t>
  </si>
  <si>
    <t>005963,99</t>
  </si>
  <si>
    <t>001291,93</t>
  </si>
  <si>
    <t>005964,11</t>
  </si>
  <si>
    <t>001291,95</t>
  </si>
  <si>
    <t>005964,29</t>
  </si>
  <si>
    <t>005964,45</t>
  </si>
  <si>
    <t>001292,02</t>
  </si>
  <si>
    <t>005964,54</t>
  </si>
  <si>
    <t>001292,03</t>
  </si>
  <si>
    <t>005964,79</t>
  </si>
  <si>
    <t>001292,08</t>
  </si>
  <si>
    <t>005964,98</t>
  </si>
  <si>
    <t>001292,12</t>
  </si>
  <si>
    <t>005965,17</t>
  </si>
  <si>
    <t>001292,15</t>
  </si>
  <si>
    <t>005965,36</t>
  </si>
  <si>
    <t>001292,18</t>
  </si>
  <si>
    <t>005965,58</t>
  </si>
  <si>
    <t>001292,22</t>
  </si>
  <si>
    <t>005965,81</t>
  </si>
  <si>
    <t>001292,26</t>
  </si>
  <si>
    <t>005966,02</t>
  </si>
  <si>
    <t>001292,30</t>
  </si>
  <si>
    <t>005966,19</t>
  </si>
  <si>
    <t>001292,33</t>
  </si>
  <si>
    <t>005966,34</t>
  </si>
  <si>
    <t>001292,36</t>
  </si>
  <si>
    <t>005966,47</t>
  </si>
  <si>
    <t>001292,38</t>
  </si>
  <si>
    <t>яч.21</t>
  </si>
  <si>
    <t>ф."ТП-217 яч.2"</t>
  </si>
  <si>
    <t>12</t>
  </si>
  <si>
    <t>004354,31</t>
  </si>
  <si>
    <t>001566,50</t>
  </si>
  <si>
    <t>004354,34</t>
  </si>
  <si>
    <t>001566,51</t>
  </si>
  <si>
    <t>004354,37</t>
  </si>
  <si>
    <t>001566,53</t>
  </si>
  <si>
    <t>004354,40</t>
  </si>
  <si>
    <t>001566,54</t>
  </si>
  <si>
    <t>004354,44</t>
  </si>
  <si>
    <t>001566,55</t>
  </si>
  <si>
    <t>004354,49</t>
  </si>
  <si>
    <t>001566,57</t>
  </si>
  <si>
    <t>004354,61</t>
  </si>
  <si>
    <t>001566,60</t>
  </si>
  <si>
    <t>004354,71</t>
  </si>
  <si>
    <t>001566,63</t>
  </si>
  <si>
    <t>004354,77</t>
  </si>
  <si>
    <t>001566,64</t>
  </si>
  <si>
    <t>004354,88</t>
  </si>
  <si>
    <t>001566,72</t>
  </si>
  <si>
    <t>004354,97</t>
  </si>
  <si>
    <t>001566,78</t>
  </si>
  <si>
    <t>004355,09</t>
  </si>
  <si>
    <t>001566,85</t>
  </si>
  <si>
    <t>004355,19</t>
  </si>
  <si>
    <t>001566,93</t>
  </si>
  <si>
    <t>004355,24</t>
  </si>
  <si>
    <t>001566,97</t>
  </si>
  <si>
    <t>004355,41</t>
  </si>
  <si>
    <t>001566,79</t>
  </si>
  <si>
    <t>004355,53</t>
  </si>
  <si>
    <t>001566,82</t>
  </si>
  <si>
    <t>004355,64</t>
  </si>
  <si>
    <t>001566,84</t>
  </si>
  <si>
    <t>004355,73</t>
  </si>
  <si>
    <t>001566,86</t>
  </si>
  <si>
    <t>004355,82</t>
  </si>
  <si>
    <t>001566,88</t>
  </si>
  <si>
    <t>004355,91</t>
  </si>
  <si>
    <t>001566,90</t>
  </si>
  <si>
    <t>004355,98</t>
  </si>
  <si>
    <t>001566,92</t>
  </si>
  <si>
    <t>004356,03</t>
  </si>
  <si>
    <t>004356,09</t>
  </si>
  <si>
    <t>001566,95</t>
  </si>
  <si>
    <t>004356,13</t>
  </si>
  <si>
    <t>001566,96</t>
  </si>
  <si>
    <t>яч.23</t>
  </si>
  <si>
    <t>ф."РП-128 ср.цепь"</t>
  </si>
  <si>
    <t>74</t>
  </si>
  <si>
    <t>014360,31</t>
  </si>
  <si>
    <t>006502,07</t>
  </si>
  <si>
    <t>014360,54</t>
  </si>
  <si>
    <t>006502,13</t>
  </si>
  <si>
    <t>014360,75</t>
  </si>
  <si>
    <t>006502,19</t>
  </si>
  <si>
    <t>014360,97</t>
  </si>
  <si>
    <t>006502,26</t>
  </si>
  <si>
    <t>014361,19</t>
  </si>
  <si>
    <t>006502,34</t>
  </si>
  <si>
    <t>014361,39</t>
  </si>
  <si>
    <t>006502,41</t>
  </si>
  <si>
    <t>014361,74</t>
  </si>
  <si>
    <t>006502,52</t>
  </si>
  <si>
    <t>014361,98</t>
  </si>
  <si>
    <t>006502,59</t>
  </si>
  <si>
    <t>014362,15</t>
  </si>
  <si>
    <t>006502,64</t>
  </si>
  <si>
    <t>014362,42</t>
  </si>
  <si>
    <t>006502,72</t>
  </si>
  <si>
    <t>014362,63</t>
  </si>
  <si>
    <t>006502,78</t>
  </si>
  <si>
    <t>014362,92</t>
  </si>
  <si>
    <t>006502,85</t>
  </si>
  <si>
    <t>014363,18</t>
  </si>
  <si>
    <t>006502,93</t>
  </si>
  <si>
    <t>014363,34</t>
  </si>
  <si>
    <t>006502,97</t>
  </si>
  <si>
    <t>014363,75</t>
  </si>
  <si>
    <t>006503,08</t>
  </si>
  <si>
    <t>014364,05</t>
  </si>
  <si>
    <t>006503,17</t>
  </si>
  <si>
    <t>014364,32</t>
  </si>
  <si>
    <t>006503,24</t>
  </si>
  <si>
    <t>014364,57</t>
  </si>
  <si>
    <t>006503,31</t>
  </si>
  <si>
    <t>014364,84</t>
  </si>
  <si>
    <t>006503,39</t>
  </si>
  <si>
    <t>014365,15</t>
  </si>
  <si>
    <t>006503,47</t>
  </si>
  <si>
    <t>014365,41</t>
  </si>
  <si>
    <t>006503,54</t>
  </si>
  <si>
    <t>014365,63</t>
  </si>
  <si>
    <t>006503,60</t>
  </si>
  <si>
    <t>014365,88</t>
  </si>
  <si>
    <t>006503,68</t>
  </si>
  <si>
    <t>014366,10</t>
  </si>
  <si>
    <t>006503,74</t>
  </si>
  <si>
    <t>яч.25</t>
  </si>
  <si>
    <t>ф."РП-142 яч.10"</t>
  </si>
  <si>
    <t>003991,64</t>
  </si>
  <si>
    <t>001386,09</t>
  </si>
  <si>
    <t>001386,10</t>
  </si>
  <si>
    <t>001386,11</t>
  </si>
  <si>
    <t>001386,12</t>
  </si>
  <si>
    <t>001386,13</t>
  </si>
  <si>
    <t>001386,14</t>
  </si>
  <si>
    <t>001386,15</t>
  </si>
  <si>
    <t>001386,16</t>
  </si>
  <si>
    <t>001386,17</t>
  </si>
  <si>
    <t>001386,18</t>
  </si>
  <si>
    <t>001386,19</t>
  </si>
  <si>
    <t>яч.27</t>
  </si>
  <si>
    <t>ф."РП-100 яч.5"</t>
  </si>
  <si>
    <t>83</t>
  </si>
  <si>
    <t>007416,79</t>
  </si>
  <si>
    <t>001696,53</t>
  </si>
  <si>
    <t>007417,05</t>
  </si>
  <si>
    <t>001696,60</t>
  </si>
  <si>
    <t>007417,29</t>
  </si>
  <si>
    <t>001696,66</t>
  </si>
  <si>
    <t>007417,53</t>
  </si>
  <si>
    <t>001696,71</t>
  </si>
  <si>
    <t>007417,77</t>
  </si>
  <si>
    <t>001696,76</t>
  </si>
  <si>
    <t>007418,01</t>
  </si>
  <si>
    <t>001696,83</t>
  </si>
  <si>
    <t>007418,43</t>
  </si>
  <si>
    <t>001696,93</t>
  </si>
  <si>
    <t>007418,73</t>
  </si>
  <si>
    <t>001697,02</t>
  </si>
  <si>
    <t>007418,93</t>
  </si>
  <si>
    <t>001697,08</t>
  </si>
  <si>
    <t>007419,25</t>
  </si>
  <si>
    <t>001697,17</t>
  </si>
  <si>
    <t>007419,49</t>
  </si>
  <si>
    <t>001697,25</t>
  </si>
  <si>
    <t>007419,81</t>
  </si>
  <si>
    <t>001697,32</t>
  </si>
  <si>
    <t>007420,11</t>
  </si>
  <si>
    <t>001697,41</t>
  </si>
  <si>
    <t>007420,29</t>
  </si>
  <si>
    <t>001697,46</t>
  </si>
  <si>
    <t>007420,77</t>
  </si>
  <si>
    <t>001697,60</t>
  </si>
  <si>
    <t>007421,12</t>
  </si>
  <si>
    <t>001697,70</t>
  </si>
  <si>
    <t>007421,44</t>
  </si>
  <si>
    <t>001697,77</t>
  </si>
  <si>
    <t>007421,75</t>
  </si>
  <si>
    <t>001697,85</t>
  </si>
  <si>
    <t>007422,05</t>
  </si>
  <si>
    <t>001697,93</t>
  </si>
  <si>
    <t>007422,47</t>
  </si>
  <si>
    <t>001698,01</t>
  </si>
  <si>
    <t>007422,80</t>
  </si>
  <si>
    <t>001698,09</t>
  </si>
  <si>
    <t>007423,08</t>
  </si>
  <si>
    <t>001698,16</t>
  </si>
  <si>
    <t>007423,37</t>
  </si>
  <si>
    <t>001698,23</t>
  </si>
  <si>
    <t>007423,61</t>
  </si>
  <si>
    <t>001698,29</t>
  </si>
  <si>
    <t>яч.29</t>
  </si>
  <si>
    <t>ф."РП-113 яч.19"</t>
  </si>
  <si>
    <t>73</t>
  </si>
  <si>
    <t>016931,77</t>
  </si>
  <si>
    <t>005951,82</t>
  </si>
  <si>
    <t>016931,98</t>
  </si>
  <si>
    <t>005951,91</t>
  </si>
  <si>
    <t>016932,18</t>
  </si>
  <si>
    <t>005951,99</t>
  </si>
  <si>
    <t>016932,38</t>
  </si>
  <si>
    <t>005952,08</t>
  </si>
  <si>
    <t>016932,61</t>
  </si>
  <si>
    <t>005952,16</t>
  </si>
  <si>
    <t>016932,84</t>
  </si>
  <si>
    <t>005952,24</t>
  </si>
  <si>
    <t>016933,38</t>
  </si>
  <si>
    <t>005952,38</t>
  </si>
  <si>
    <t>016933,58</t>
  </si>
  <si>
    <t>005952,47</t>
  </si>
  <si>
    <t>016933,77</t>
  </si>
  <si>
    <t>005952,54</t>
  </si>
  <si>
    <t>016934,10</t>
  </si>
  <si>
    <t>005952,64</t>
  </si>
  <si>
    <t>016934,37</t>
  </si>
  <si>
    <t>005952,72</t>
  </si>
  <si>
    <t>016934,71</t>
  </si>
  <si>
    <t>005952,83</t>
  </si>
  <si>
    <t>016935,02</t>
  </si>
  <si>
    <t>005952,93</t>
  </si>
  <si>
    <t>016935,19</t>
  </si>
  <si>
    <t>005952,99</t>
  </si>
  <si>
    <t>016935,64</t>
  </si>
  <si>
    <t>005953,13</t>
  </si>
  <si>
    <t>016936,00</t>
  </si>
  <si>
    <t>005953,23</t>
  </si>
  <si>
    <t>016936,30</t>
  </si>
  <si>
    <t>005953,33</t>
  </si>
  <si>
    <t>016936,64</t>
  </si>
  <si>
    <t>005953,44</t>
  </si>
  <si>
    <t>016937,05</t>
  </si>
  <si>
    <t>005953,57</t>
  </si>
  <si>
    <t>016937,43</t>
  </si>
  <si>
    <t>005953,68</t>
  </si>
  <si>
    <t>016937,77</t>
  </si>
  <si>
    <t>005953,79</t>
  </si>
  <si>
    <t>016938,04</t>
  </si>
  <si>
    <t>005953,88</t>
  </si>
  <si>
    <t>016938,29</t>
  </si>
  <si>
    <t>005953,98</t>
  </si>
  <si>
    <t>016938,50</t>
  </si>
  <si>
    <t>005954,06</t>
  </si>
  <si>
    <t>яч.8</t>
  </si>
  <si>
    <t>ф."ТП-ИОЦ яч.6"</t>
  </si>
  <si>
    <t>14</t>
  </si>
  <si>
    <t>104,52</t>
  </si>
  <si>
    <t>17,03</t>
  </si>
  <si>
    <t>104,58</t>
  </si>
  <si>
    <t>104,64</t>
  </si>
  <si>
    <t>17,04</t>
  </si>
  <si>
    <t>104,70</t>
  </si>
  <si>
    <t>17,05</t>
  </si>
  <si>
    <t>104,75</t>
  </si>
  <si>
    <t>104,79</t>
  </si>
  <si>
    <t>17,06</t>
  </si>
  <si>
    <t>104,78</t>
  </si>
  <si>
    <t>17,07</t>
  </si>
  <si>
    <t>104,93</t>
  </si>
  <si>
    <t>104,97</t>
  </si>
  <si>
    <t>105,04</t>
  </si>
  <si>
    <t>17,08</t>
  </si>
  <si>
    <t>105,09</t>
  </si>
  <si>
    <t>17,09</t>
  </si>
  <si>
    <t>105,15</t>
  </si>
  <si>
    <t>17,10</t>
  </si>
  <si>
    <t>105,21</t>
  </si>
  <si>
    <t>105,24</t>
  </si>
  <si>
    <t>17,11</t>
  </si>
  <si>
    <t>105,33</t>
  </si>
  <si>
    <t>17,12</t>
  </si>
  <si>
    <t>105,38</t>
  </si>
  <si>
    <t>105,43</t>
  </si>
  <si>
    <t>17,13</t>
  </si>
  <si>
    <t>105,48</t>
  </si>
  <si>
    <t>105,53</t>
  </si>
  <si>
    <t>105,59</t>
  </si>
  <si>
    <t>17,14</t>
  </si>
  <si>
    <t>105,65</t>
  </si>
  <si>
    <t>17,15</t>
  </si>
  <si>
    <t>105,71</t>
  </si>
  <si>
    <t>17,16</t>
  </si>
  <si>
    <t>105,77</t>
  </si>
  <si>
    <t>17,17</t>
  </si>
  <si>
    <t>105,82</t>
  </si>
  <si>
    <t>яч.10</t>
  </si>
  <si>
    <t>ф."РП-101 яч.1"</t>
  </si>
  <si>
    <t>86</t>
  </si>
  <si>
    <t>018689,63</t>
  </si>
  <si>
    <t>009459,38</t>
  </si>
  <si>
    <t>018689,75</t>
  </si>
  <si>
    <t>009459,44</t>
  </si>
  <si>
    <t>85</t>
  </si>
  <si>
    <t>018689,86</t>
  </si>
  <si>
    <t>009459,50</t>
  </si>
  <si>
    <t>018689,98</t>
  </si>
  <si>
    <t>009459,55</t>
  </si>
  <si>
    <t>33</t>
  </si>
  <si>
    <t>018690,11</t>
  </si>
  <si>
    <t>009459,61</t>
  </si>
  <si>
    <t>119</t>
  </si>
  <si>
    <t>018690,24</t>
  </si>
  <si>
    <t>009459,66</t>
  </si>
  <si>
    <t>147</t>
  </si>
  <si>
    <t>018690,52</t>
  </si>
  <si>
    <t>009459,77</t>
  </si>
  <si>
    <t>018690,71</t>
  </si>
  <si>
    <t>009459,85</t>
  </si>
  <si>
    <t>157</t>
  </si>
  <si>
    <t>018690,84</t>
  </si>
  <si>
    <t>009459,90</t>
  </si>
  <si>
    <t>168</t>
  </si>
  <si>
    <t>018690,99</t>
  </si>
  <si>
    <t>009459,88</t>
  </si>
  <si>
    <t>160</t>
  </si>
  <si>
    <t>018691,22</t>
  </si>
  <si>
    <t>009460,06</t>
  </si>
  <si>
    <t>018691,45</t>
  </si>
  <si>
    <t>009460,15</t>
  </si>
  <si>
    <t>153</t>
  </si>
  <si>
    <t>018691,65</t>
  </si>
  <si>
    <t>009460,24</t>
  </si>
  <si>
    <t>155</t>
  </si>
  <si>
    <t>018691,78</t>
  </si>
  <si>
    <t>009460,29</t>
  </si>
  <si>
    <t>165</t>
  </si>
  <si>
    <t>018692,10</t>
  </si>
  <si>
    <t>009460,41</t>
  </si>
  <si>
    <t>167</t>
  </si>
  <si>
    <t>018692,32</t>
  </si>
  <si>
    <t>009460,50</t>
  </si>
  <si>
    <t>018692,54</t>
  </si>
  <si>
    <t>009460,58</t>
  </si>
  <si>
    <t>159</t>
  </si>
  <si>
    <t>018692,76</t>
  </si>
  <si>
    <t>009460,65</t>
  </si>
  <si>
    <t>018692,99</t>
  </si>
  <si>
    <t>009460,73</t>
  </si>
  <si>
    <t>140</t>
  </si>
  <si>
    <t>018693,24</t>
  </si>
  <si>
    <t>009460,81</t>
  </si>
  <si>
    <t>125</t>
  </si>
  <si>
    <t>018693,44</t>
  </si>
  <si>
    <t>009460,88</t>
  </si>
  <si>
    <t>113</t>
  </si>
  <si>
    <t>018693,60</t>
  </si>
  <si>
    <t>009460,94</t>
  </si>
  <si>
    <t>100</t>
  </si>
  <si>
    <t>018693,76</t>
  </si>
  <si>
    <t>009461,01</t>
  </si>
  <si>
    <t>91</t>
  </si>
  <si>
    <t>018693,89</t>
  </si>
  <si>
    <t>009461,06</t>
  </si>
  <si>
    <t>яч.12</t>
  </si>
  <si>
    <t>ф."КТПН Нефт.-2"</t>
  </si>
  <si>
    <t>72</t>
  </si>
  <si>
    <t>009046,91</t>
  </si>
  <si>
    <t>002203,24</t>
  </si>
  <si>
    <t>009047,14</t>
  </si>
  <si>
    <t>002203,29</t>
  </si>
  <si>
    <t>009047,35</t>
  </si>
  <si>
    <t>002203,33</t>
  </si>
  <si>
    <t>69</t>
  </si>
  <si>
    <t>009047,56</t>
  </si>
  <si>
    <t>002203,37</t>
  </si>
  <si>
    <t>70</t>
  </si>
  <si>
    <t>009047,76</t>
  </si>
  <si>
    <t>002203,41</t>
  </si>
  <si>
    <t>009047,93</t>
  </si>
  <si>
    <t>002203,44</t>
  </si>
  <si>
    <t>75</t>
  </si>
  <si>
    <t>009048,25</t>
  </si>
  <si>
    <t>002203,50</t>
  </si>
  <si>
    <t>009048,44</t>
  </si>
  <si>
    <t>002203,53</t>
  </si>
  <si>
    <t>82</t>
  </si>
  <si>
    <t>009048,58</t>
  </si>
  <si>
    <t>002203,56</t>
  </si>
  <si>
    <t>79</t>
  </si>
  <si>
    <t>009048,81</t>
  </si>
  <si>
    <t>002203,60</t>
  </si>
  <si>
    <t>009049,00</t>
  </si>
  <si>
    <t>002203,64</t>
  </si>
  <si>
    <t>81</t>
  </si>
  <si>
    <t>009049,25</t>
  </si>
  <si>
    <t>002203,69</t>
  </si>
  <si>
    <t>89</t>
  </si>
  <si>
    <t>009049,48</t>
  </si>
  <si>
    <t>002203,73</t>
  </si>
  <si>
    <t>009049,63</t>
  </si>
  <si>
    <t>002203,76</t>
  </si>
  <si>
    <t>99</t>
  </si>
  <si>
    <t>009049,99</t>
  </si>
  <si>
    <t>002203,84</t>
  </si>
  <si>
    <t>103</t>
  </si>
  <si>
    <t>009050,28</t>
  </si>
  <si>
    <t>002203,90</t>
  </si>
  <si>
    <t>009050,55</t>
  </si>
  <si>
    <t>002203,96</t>
  </si>
  <si>
    <t>94</t>
  </si>
  <si>
    <t>009050,84</t>
  </si>
  <si>
    <t>002204,01</t>
  </si>
  <si>
    <t>93</t>
  </si>
  <si>
    <t>009051,11</t>
  </si>
  <si>
    <t>002204,06</t>
  </si>
  <si>
    <t>009051,40</t>
  </si>
  <si>
    <t>002204,12</t>
  </si>
  <si>
    <t>84</t>
  </si>
  <si>
    <t>009051,68</t>
  </si>
  <si>
    <t>002204,17</t>
  </si>
  <si>
    <t>80</t>
  </si>
  <si>
    <t>009051,91</t>
  </si>
  <si>
    <t>002204,21</t>
  </si>
  <si>
    <t>009052,16</t>
  </si>
  <si>
    <t>002204,26</t>
  </si>
  <si>
    <t>78</t>
  </si>
  <si>
    <t>009052,40</t>
  </si>
  <si>
    <t>002204,30</t>
  </si>
  <si>
    <t>яч.14</t>
  </si>
  <si>
    <t>ф."ТП-216 яч.6"</t>
  </si>
  <si>
    <t>13</t>
  </si>
  <si>
    <t>005249,87</t>
  </si>
  <si>
    <t>002156,19</t>
  </si>
  <si>
    <t>005249,90</t>
  </si>
  <si>
    <t>002156,20</t>
  </si>
  <si>
    <t>9</t>
  </si>
  <si>
    <t>005249,92</t>
  </si>
  <si>
    <t>002156,22</t>
  </si>
  <si>
    <t>005249,95</t>
  </si>
  <si>
    <t>002156,24</t>
  </si>
  <si>
    <t>005249,97</t>
  </si>
  <si>
    <t>002156,25</t>
  </si>
  <si>
    <t>005249,99</t>
  </si>
  <si>
    <t>002156,26</t>
  </si>
  <si>
    <t>18</t>
  </si>
  <si>
    <t>005250,04</t>
  </si>
  <si>
    <t>002156,29</t>
  </si>
  <si>
    <t>005250,11</t>
  </si>
  <si>
    <t>002156,31</t>
  </si>
  <si>
    <t>39</t>
  </si>
  <si>
    <t>005250,17</t>
  </si>
  <si>
    <t>002156,32</t>
  </si>
  <si>
    <t>005250,28</t>
  </si>
  <si>
    <t>002156,34</t>
  </si>
  <si>
    <t>43</t>
  </si>
  <si>
    <t>005250,37</t>
  </si>
  <si>
    <t>002156,35</t>
  </si>
  <si>
    <t>005250,50</t>
  </si>
  <si>
    <t>002156,37</t>
  </si>
  <si>
    <t>005250,61</t>
  </si>
  <si>
    <t>002156,39</t>
  </si>
  <si>
    <t>005250,68</t>
  </si>
  <si>
    <t>002156,40</t>
  </si>
  <si>
    <t>005250,85</t>
  </si>
  <si>
    <t>002156,43</t>
  </si>
  <si>
    <t>41</t>
  </si>
  <si>
    <t>005250,96</t>
  </si>
  <si>
    <t>002156,46</t>
  </si>
  <si>
    <t>005251,07</t>
  </si>
  <si>
    <t>002156,49</t>
  </si>
  <si>
    <t>005251,17</t>
  </si>
  <si>
    <t>002156,51</t>
  </si>
  <si>
    <t>22</t>
  </si>
  <si>
    <t>005251,27</t>
  </si>
  <si>
    <t>002156,53</t>
  </si>
  <si>
    <t>005251,35</t>
  </si>
  <si>
    <t>002156,56</t>
  </si>
  <si>
    <t>10</t>
  </si>
  <si>
    <t>005251,39</t>
  </si>
  <si>
    <t>002156,58</t>
  </si>
  <si>
    <t>005251,42</t>
  </si>
  <si>
    <t>002156,60</t>
  </si>
  <si>
    <t>005251,45</t>
  </si>
  <si>
    <t>002156,62</t>
  </si>
  <si>
    <t>005251,48</t>
  </si>
  <si>
    <t>002156,63</t>
  </si>
  <si>
    <t>яч.16</t>
  </si>
  <si>
    <t>ф."РП-113 яч.20"</t>
  </si>
  <si>
    <t>95</t>
  </si>
  <si>
    <t>027397,97</t>
  </si>
  <si>
    <t>008723,63</t>
  </si>
  <si>
    <t>92</t>
  </si>
  <si>
    <t>027398,4</t>
  </si>
  <si>
    <t>008723,73</t>
  </si>
  <si>
    <t>90</t>
  </si>
  <si>
    <t>027398,50</t>
  </si>
  <si>
    <t>008723,82</t>
  </si>
  <si>
    <t>96</t>
  </si>
  <si>
    <t>027398,77</t>
  </si>
  <si>
    <t>008723,92</t>
  </si>
  <si>
    <t>108</t>
  </si>
  <si>
    <t>027399,05</t>
  </si>
  <si>
    <t>008724,01</t>
  </si>
  <si>
    <t>128</t>
  </si>
  <si>
    <t>027399,34</t>
  </si>
  <si>
    <t>008724,09</t>
  </si>
  <si>
    <t>154</t>
  </si>
  <si>
    <t>027399,93</t>
  </si>
  <si>
    <t>008724,25</t>
  </si>
  <si>
    <t>027400,34</t>
  </si>
  <si>
    <t>008724,35</t>
  </si>
  <si>
    <t>161</t>
  </si>
  <si>
    <t>027400,61</t>
  </si>
  <si>
    <t>008724,42</t>
  </si>
  <si>
    <t>027400,99</t>
  </si>
  <si>
    <t>008724,51</t>
  </si>
  <si>
    <t>158</t>
  </si>
  <si>
    <t>027401,39</t>
  </si>
  <si>
    <t>008724,61</t>
  </si>
  <si>
    <t>027401,85</t>
  </si>
  <si>
    <t>008724,72</t>
  </si>
  <si>
    <t>162</t>
  </si>
  <si>
    <t>027402,29</t>
  </si>
  <si>
    <t>008724,83</t>
  </si>
  <si>
    <t>164</t>
  </si>
  <si>
    <t>027402,57</t>
  </si>
  <si>
    <t>008724,90</t>
  </si>
  <si>
    <t>188</t>
  </si>
  <si>
    <t>027403,27</t>
  </si>
  <si>
    <t>008725,06</t>
  </si>
  <si>
    <t>185</t>
  </si>
  <si>
    <t>027403,78</t>
  </si>
  <si>
    <t>008725,18</t>
  </si>
  <si>
    <t>194</t>
  </si>
  <si>
    <t>027404,30</t>
  </si>
  <si>
    <t>008725,29</t>
  </si>
  <si>
    <t>191</t>
  </si>
  <si>
    <t>027404,83</t>
  </si>
  <si>
    <t>008725,41</t>
  </si>
  <si>
    <t>192</t>
  </si>
  <si>
    <t>027405,43</t>
  </si>
  <si>
    <t>008725,53</t>
  </si>
  <si>
    <t>180</t>
  </si>
  <si>
    <t>027406,01</t>
  </si>
  <si>
    <t>008725,65</t>
  </si>
  <si>
    <t>163</t>
  </si>
  <si>
    <t>027406,56</t>
  </si>
  <si>
    <t>008725,77</t>
  </si>
  <si>
    <t>139</t>
  </si>
  <si>
    <t>027407,00</t>
  </si>
  <si>
    <t>008725,87</t>
  </si>
  <si>
    <t>120</t>
  </si>
  <si>
    <t>027407,39</t>
  </si>
  <si>
    <t>008725,98</t>
  </si>
  <si>
    <t>027407,72</t>
  </si>
  <si>
    <t>008726,08</t>
  </si>
  <si>
    <t>яч.18</t>
  </si>
  <si>
    <t>ф."ТП-525 яч.7"</t>
  </si>
  <si>
    <t>005990,05</t>
  </si>
  <si>
    <t>002510,56</t>
  </si>
  <si>
    <t>005990,09</t>
  </si>
  <si>
    <t>002510,60</t>
  </si>
  <si>
    <t>005990,13</t>
  </si>
  <si>
    <t>002510,64</t>
  </si>
  <si>
    <t>005990,17</t>
  </si>
  <si>
    <t>002510,67</t>
  </si>
  <si>
    <t>005990,22</t>
  </si>
  <si>
    <t>002510,71</t>
  </si>
  <si>
    <t>005990,25</t>
  </si>
  <si>
    <t>002510,74</t>
  </si>
  <si>
    <t>005990,32</t>
  </si>
  <si>
    <t>002510,79</t>
  </si>
  <si>
    <t>8</t>
  </si>
  <si>
    <t>005990,36</t>
  </si>
  <si>
    <t>002510,82</t>
  </si>
  <si>
    <t>4</t>
  </si>
  <si>
    <t>005990,38</t>
  </si>
  <si>
    <t>002510,84</t>
  </si>
  <si>
    <t>005990,42</t>
  </si>
  <si>
    <t>002510,87</t>
  </si>
  <si>
    <t>005990,45</t>
  </si>
  <si>
    <t>002510,89</t>
  </si>
  <si>
    <t>005990,50</t>
  </si>
  <si>
    <t>002510,92</t>
  </si>
  <si>
    <t>005990,54</t>
  </si>
  <si>
    <t>002510,95</t>
  </si>
  <si>
    <t>005990,56</t>
  </si>
  <si>
    <t>002510,97</t>
  </si>
  <si>
    <t>005990,62</t>
  </si>
  <si>
    <t>002511,01</t>
  </si>
  <si>
    <t>5</t>
  </si>
  <si>
    <t>005990,66</t>
  </si>
  <si>
    <t>002511,04</t>
  </si>
  <si>
    <t>6</t>
  </si>
  <si>
    <t>005990,70</t>
  </si>
  <si>
    <t>002511,08</t>
  </si>
  <si>
    <t>005990,75</t>
  </si>
  <si>
    <t>002511,11</t>
  </si>
  <si>
    <t>005990,80</t>
  </si>
  <si>
    <t>002511,15</t>
  </si>
  <si>
    <t>17</t>
  </si>
  <si>
    <t>005990,85</t>
  </si>
  <si>
    <t>002511,19</t>
  </si>
  <si>
    <t>005990,90</t>
  </si>
  <si>
    <t>002511,23</t>
  </si>
  <si>
    <t>005990,94</t>
  </si>
  <si>
    <t>002511,26</t>
  </si>
  <si>
    <t>16</t>
  </si>
  <si>
    <t>005990,98</t>
  </si>
  <si>
    <t>002511,30</t>
  </si>
  <si>
    <t>005991,02</t>
  </si>
  <si>
    <t>002511,34</t>
  </si>
  <si>
    <t>яч.20</t>
  </si>
  <si>
    <t>ф."РП-100 яч.4"</t>
  </si>
  <si>
    <t>024611,66</t>
  </si>
  <si>
    <t>008460,96</t>
  </si>
  <si>
    <t>024611,93</t>
  </si>
  <si>
    <t>008461,07</t>
  </si>
  <si>
    <t>024612,21</t>
  </si>
  <si>
    <t>008461,18</t>
  </si>
  <si>
    <t>024612,49</t>
  </si>
  <si>
    <t>008461,29</t>
  </si>
  <si>
    <t>024612,79</t>
  </si>
  <si>
    <t>008461,38</t>
  </si>
  <si>
    <t>024613,0</t>
  </si>
  <si>
    <t>008461,47</t>
  </si>
  <si>
    <t>024613,76</t>
  </si>
  <si>
    <t>008461,66</t>
  </si>
  <si>
    <t>178</t>
  </si>
  <si>
    <t>024614,20</t>
  </si>
  <si>
    <t>008461,79</t>
  </si>
  <si>
    <t>179</t>
  </si>
  <si>
    <t>024614,50</t>
  </si>
  <si>
    <t>008461,87</t>
  </si>
  <si>
    <t>024614,97</t>
  </si>
  <si>
    <t>008462,01</t>
  </si>
  <si>
    <t>175</t>
  </si>
  <si>
    <t>024615,34</t>
  </si>
  <si>
    <t>008462,11</t>
  </si>
  <si>
    <t>170</t>
  </si>
  <si>
    <t>024615,84</t>
  </si>
  <si>
    <t>008462,24</t>
  </si>
  <si>
    <t>171</t>
  </si>
  <si>
    <t>024616,33</t>
  </si>
  <si>
    <t>008462,36</t>
  </si>
  <si>
    <t>024616,65</t>
  </si>
  <si>
    <t>008462,45</t>
  </si>
  <si>
    <t>024617,39</t>
  </si>
  <si>
    <t>008462,64</t>
  </si>
  <si>
    <t>024617,91</t>
  </si>
  <si>
    <t>008462,77</t>
  </si>
  <si>
    <t>181</t>
  </si>
  <si>
    <t>024618,41</t>
  </si>
  <si>
    <t>008462,90</t>
  </si>
  <si>
    <t>024618,90</t>
  </si>
  <si>
    <t>008463,02</t>
  </si>
  <si>
    <t>024619,45</t>
  </si>
  <si>
    <t>008463,13</t>
  </si>
  <si>
    <t>024619,96</t>
  </si>
  <si>
    <t>008463,23</t>
  </si>
  <si>
    <t>156</t>
  </si>
  <si>
    <t>024620,47</t>
  </si>
  <si>
    <t>008463,38</t>
  </si>
  <si>
    <t>132</t>
  </si>
  <si>
    <t>024620,86</t>
  </si>
  <si>
    <t>008463,48</t>
  </si>
  <si>
    <t>116</t>
  </si>
  <si>
    <t>024621,25</t>
  </si>
  <si>
    <t>008463,59</t>
  </si>
  <si>
    <t>104</t>
  </si>
  <si>
    <t>024621,57</t>
  </si>
  <si>
    <t>008463,69</t>
  </si>
  <si>
    <t>яч.22</t>
  </si>
  <si>
    <t>ф."ТП-212 яч.2"</t>
  </si>
  <si>
    <t>006421,36</t>
  </si>
  <si>
    <t>002879,61</t>
  </si>
  <si>
    <t>006421,43</t>
  </si>
  <si>
    <t>002879,66</t>
  </si>
  <si>
    <t>006421,51</t>
  </si>
  <si>
    <t>002879,70</t>
  </si>
  <si>
    <t>006421,58</t>
  </si>
  <si>
    <t>002879,74</t>
  </si>
  <si>
    <t>006421,66</t>
  </si>
  <si>
    <t>002879,78</t>
  </si>
  <si>
    <t>006421,74</t>
  </si>
  <si>
    <t>002879,82</t>
  </si>
  <si>
    <t>006421,92</t>
  </si>
  <si>
    <t>002879,89</t>
  </si>
  <si>
    <t>47</t>
  </si>
  <si>
    <t>006422,03</t>
  </si>
  <si>
    <t>002879,94</t>
  </si>
  <si>
    <t>006422,11</t>
  </si>
  <si>
    <t>002879,97</t>
  </si>
  <si>
    <t>48</t>
  </si>
  <si>
    <t>006422,23</t>
  </si>
  <si>
    <t>002880,02</t>
  </si>
  <si>
    <t>52</t>
  </si>
  <si>
    <t>006422,33</t>
  </si>
  <si>
    <t>002880,07</t>
  </si>
  <si>
    <t>46</t>
  </si>
  <si>
    <t>006422,47</t>
  </si>
  <si>
    <t>002880,12</t>
  </si>
  <si>
    <t>006422,59</t>
  </si>
  <si>
    <t>002880,17</t>
  </si>
  <si>
    <t>006422,67</t>
  </si>
  <si>
    <t>002880,21</t>
  </si>
  <si>
    <t>006422,86</t>
  </si>
  <si>
    <t>002880,29</t>
  </si>
  <si>
    <t>49</t>
  </si>
  <si>
    <t>006423,00</t>
  </si>
  <si>
    <t>002880,34</t>
  </si>
  <si>
    <t>006423,12</t>
  </si>
  <si>
    <t>002880,39</t>
  </si>
  <si>
    <t>006423,24</t>
  </si>
  <si>
    <t>002880,43</t>
  </si>
  <si>
    <t>44</t>
  </si>
  <si>
    <t>006423,37</t>
  </si>
  <si>
    <t>002880,49</t>
  </si>
  <si>
    <t>006423,50</t>
  </si>
  <si>
    <t>002880,54</t>
  </si>
  <si>
    <t>006423,62</t>
  </si>
  <si>
    <t>002880,58</t>
  </si>
  <si>
    <t>36</t>
  </si>
  <si>
    <t>006423,72</t>
  </si>
  <si>
    <t>002880,62</t>
  </si>
  <si>
    <t>006423,82</t>
  </si>
  <si>
    <t>002880,67</t>
  </si>
  <si>
    <t>006423,91</t>
  </si>
  <si>
    <t>002880,71</t>
  </si>
  <si>
    <t>яч.28</t>
  </si>
  <si>
    <t>ф."ТП-217 яч.1"</t>
  </si>
  <si>
    <t>011801,63</t>
  </si>
  <si>
    <t>004141,80</t>
  </si>
  <si>
    <t>011801,72</t>
  </si>
  <si>
    <t>004141,84</t>
  </si>
  <si>
    <t>011801,82</t>
  </si>
  <si>
    <t>004141,89</t>
  </si>
  <si>
    <t>011801,92</t>
  </si>
  <si>
    <t>004141,94</t>
  </si>
  <si>
    <t>011802,04</t>
  </si>
  <si>
    <t>004141,98</t>
  </si>
  <si>
    <t>011802,17</t>
  </si>
  <si>
    <t>004142,02</t>
  </si>
  <si>
    <t>011802,51</t>
  </si>
  <si>
    <t>004142,11</t>
  </si>
  <si>
    <t>50</t>
  </si>
  <si>
    <t>011802,76</t>
  </si>
  <si>
    <t>004142,18</t>
  </si>
  <si>
    <t>54</t>
  </si>
  <si>
    <t>011802,93</t>
  </si>
  <si>
    <t>004142,22</t>
  </si>
  <si>
    <t>45</t>
  </si>
  <si>
    <t>011803,20</t>
  </si>
  <si>
    <t>004142,29</t>
  </si>
  <si>
    <t>011803,39</t>
  </si>
  <si>
    <t>004142,34</t>
  </si>
  <si>
    <t>011803,64</t>
  </si>
  <si>
    <t>004142,41</t>
  </si>
  <si>
    <t>51</t>
  </si>
  <si>
    <t>011803,91</t>
  </si>
  <si>
    <t>004142,48</t>
  </si>
  <si>
    <t>011804,11</t>
  </si>
  <si>
    <t>004142,53</t>
  </si>
  <si>
    <t>011804,50</t>
  </si>
  <si>
    <t>004142,62</t>
  </si>
  <si>
    <t>011804,77</t>
  </si>
  <si>
    <t>004142,69</t>
  </si>
  <si>
    <t>011805,03</t>
  </si>
  <si>
    <t>004142,75</t>
  </si>
  <si>
    <t>42</t>
  </si>
  <si>
    <t>011805,27</t>
  </si>
  <si>
    <t>004142,81</t>
  </si>
  <si>
    <t>011805,51</t>
  </si>
  <si>
    <t>004142,87</t>
  </si>
  <si>
    <t>34</t>
  </si>
  <si>
    <t>011805,74</t>
  </si>
  <si>
    <t>004142,92</t>
  </si>
  <si>
    <t>011805,96</t>
  </si>
  <si>
    <t>004142,97</t>
  </si>
  <si>
    <t>29</t>
  </si>
  <si>
    <t>011806,12</t>
  </si>
  <si>
    <t>004143,02</t>
  </si>
  <si>
    <t>23</t>
  </si>
  <si>
    <t>011806,28</t>
  </si>
  <si>
    <t>004143,06</t>
  </si>
  <si>
    <t>20</t>
  </si>
  <si>
    <t>011806,40</t>
  </si>
  <si>
    <t>004143,11</t>
  </si>
  <si>
    <t>яч.30</t>
  </si>
  <si>
    <t>ф."РП-128А яч.26"</t>
  </si>
  <si>
    <t>013416,12</t>
  </si>
  <si>
    <t>005857,23</t>
  </si>
  <si>
    <t>013416,28</t>
  </si>
  <si>
    <t>005857,28</t>
  </si>
  <si>
    <t>013416,44</t>
  </si>
  <si>
    <t>005857,33</t>
  </si>
  <si>
    <t>013416,60</t>
  </si>
  <si>
    <t>005857,38</t>
  </si>
  <si>
    <t>013416,77</t>
  </si>
  <si>
    <t>005857,43</t>
  </si>
  <si>
    <t>013416,91</t>
  </si>
  <si>
    <t>005857,48</t>
  </si>
  <si>
    <t>013417,22</t>
  </si>
  <si>
    <t>005857,58</t>
  </si>
  <si>
    <t>013417,43</t>
  </si>
  <si>
    <t>005857,65</t>
  </si>
  <si>
    <t>013417,58</t>
  </si>
  <si>
    <t>005857,69</t>
  </si>
  <si>
    <t>013417,80</t>
  </si>
  <si>
    <t>005857,76</t>
  </si>
  <si>
    <t>013417,97</t>
  </si>
  <si>
    <t>005857,82</t>
  </si>
  <si>
    <t>013418,19</t>
  </si>
  <si>
    <t>005857,88</t>
  </si>
  <si>
    <t>76</t>
  </si>
  <si>
    <t>013418,39</t>
  </si>
  <si>
    <t>005857,96</t>
  </si>
  <si>
    <t>013418,54</t>
  </si>
  <si>
    <t>005858,00</t>
  </si>
  <si>
    <t>013418,83</t>
  </si>
  <si>
    <t>005858,11</t>
  </si>
  <si>
    <t>013419,03</t>
  </si>
  <si>
    <t>005858,17</t>
  </si>
  <si>
    <t>68</t>
  </si>
  <si>
    <t>013419,22</t>
  </si>
  <si>
    <t>005858,22</t>
  </si>
  <si>
    <t>66</t>
  </si>
  <si>
    <t>013419,40</t>
  </si>
  <si>
    <t>005858,27</t>
  </si>
  <si>
    <t>65</t>
  </si>
  <si>
    <t>013419,60</t>
  </si>
  <si>
    <t>005858,33</t>
  </si>
  <si>
    <t>67</t>
  </si>
  <si>
    <t>013419,79</t>
  </si>
  <si>
    <t>005858,38</t>
  </si>
  <si>
    <t>013419,99</t>
  </si>
  <si>
    <t>005858,44</t>
  </si>
  <si>
    <t>013420,17</t>
  </si>
  <si>
    <t>005858,50</t>
  </si>
  <si>
    <t>62</t>
  </si>
  <si>
    <t>013420,37</t>
  </si>
  <si>
    <t>005858,56</t>
  </si>
  <si>
    <t>013420,55</t>
  </si>
  <si>
    <t>005858,61</t>
  </si>
  <si>
    <t>яч.32</t>
  </si>
  <si>
    <t>ф."ТП-УЭЗИС яч.5"</t>
  </si>
  <si>
    <t>003316,13</t>
  </si>
  <si>
    <t>000723,37</t>
  </si>
  <si>
    <t>003316,14</t>
  </si>
  <si>
    <t>003316,16</t>
  </si>
  <si>
    <t>000723,38</t>
  </si>
  <si>
    <t>003316,18</t>
  </si>
  <si>
    <t>003316,21</t>
  </si>
  <si>
    <t>003316,23</t>
  </si>
  <si>
    <t>003316,32</t>
  </si>
  <si>
    <t>000723,39</t>
  </si>
  <si>
    <t>26</t>
  </si>
  <si>
    <t>003316,40</t>
  </si>
  <si>
    <t>000723,40</t>
  </si>
  <si>
    <t>003316,45</t>
  </si>
  <si>
    <t>000723,41</t>
  </si>
  <si>
    <t>28</t>
  </si>
  <si>
    <t>003316,53</t>
  </si>
  <si>
    <t>000723,42</t>
  </si>
  <si>
    <t>003316,59</t>
  </si>
  <si>
    <t>25</t>
  </si>
  <si>
    <t>003316,67</t>
  </si>
  <si>
    <t>000723,43</t>
  </si>
  <si>
    <t>003316,74</t>
  </si>
  <si>
    <t>000723,44</t>
  </si>
  <si>
    <t>003316,79</t>
  </si>
  <si>
    <t>000723,45</t>
  </si>
  <si>
    <t>003316,90</t>
  </si>
  <si>
    <t>000723,46</t>
  </si>
  <si>
    <t>003317,00</t>
  </si>
  <si>
    <t>003317,04</t>
  </si>
  <si>
    <t>000723,47</t>
  </si>
  <si>
    <t>003317,10</t>
  </si>
  <si>
    <t>000723,48</t>
  </si>
  <si>
    <t>003317,14</t>
  </si>
  <si>
    <t>11</t>
  </si>
  <si>
    <t>003317,18</t>
  </si>
  <si>
    <t>003317,21</t>
  </si>
  <si>
    <t>003317,23</t>
  </si>
  <si>
    <t>003317,25</t>
  </si>
  <si>
    <t>003317,27</t>
  </si>
  <si>
    <t>000723,49</t>
  </si>
  <si>
    <t>яч.34</t>
  </si>
  <si>
    <t>ф."ТП-218 яч.5"</t>
  </si>
  <si>
    <t>001964,08</t>
  </si>
  <si>
    <t>000640,69</t>
  </si>
  <si>
    <t>001964,09</t>
  </si>
  <si>
    <t>001964,11</t>
  </si>
  <si>
    <t>001964,12</t>
  </si>
  <si>
    <t>001964,14</t>
  </si>
  <si>
    <t>000640,70</t>
  </si>
  <si>
    <t>001964,15</t>
  </si>
  <si>
    <t>001964,19</t>
  </si>
  <si>
    <t>000640,71</t>
  </si>
  <si>
    <t>001964,21</t>
  </si>
  <si>
    <t>000640,72</t>
  </si>
  <si>
    <t>001964,23</t>
  </si>
  <si>
    <t>001964,26</t>
  </si>
  <si>
    <t>000640,73</t>
  </si>
  <si>
    <t>001964,28</t>
  </si>
  <si>
    <t>000640,74</t>
  </si>
  <si>
    <t>001964,31</t>
  </si>
  <si>
    <t>000640,75</t>
  </si>
  <si>
    <t>001964,34</t>
  </si>
  <si>
    <t>000640,76</t>
  </si>
  <si>
    <t>001964,36</t>
  </si>
  <si>
    <t>001964,41</t>
  </si>
  <si>
    <t>000640,77</t>
  </si>
  <si>
    <t>001964,44</t>
  </si>
  <si>
    <t>000640,78</t>
  </si>
  <si>
    <t>001964,47</t>
  </si>
  <si>
    <t>000640,79</t>
  </si>
  <si>
    <t>001964,50</t>
  </si>
  <si>
    <t>000640,80</t>
  </si>
  <si>
    <t>001964,53</t>
  </si>
  <si>
    <t>001964,56</t>
  </si>
  <si>
    <t>001964,59</t>
  </si>
  <si>
    <t>7</t>
  </si>
  <si>
    <t>001964,61</t>
  </si>
  <si>
    <t>000640,81</t>
  </si>
  <si>
    <t>001964,63</t>
  </si>
  <si>
    <t>001964,64</t>
  </si>
  <si>
    <t>яч.37</t>
  </si>
  <si>
    <t>ф."РП-104 яч.7"</t>
  </si>
  <si>
    <t>010064,96</t>
  </si>
  <si>
    <t>003086,47</t>
  </si>
  <si>
    <t>010065,00</t>
  </si>
  <si>
    <t>003086,48</t>
  </si>
  <si>
    <t>010065,05</t>
  </si>
  <si>
    <t>003086,49</t>
  </si>
  <si>
    <t>010065,10</t>
  </si>
  <si>
    <t>003086,50</t>
  </si>
  <si>
    <t>010065,16</t>
  </si>
  <si>
    <t>003086,51</t>
  </si>
  <si>
    <t>010065,21</t>
  </si>
  <si>
    <t>003086,52</t>
  </si>
  <si>
    <t>010065,34</t>
  </si>
  <si>
    <t>003086,55</t>
  </si>
  <si>
    <t>61</t>
  </si>
  <si>
    <t>010065,41</t>
  </si>
  <si>
    <t>003086,56</t>
  </si>
  <si>
    <t>010065,47</t>
  </si>
  <si>
    <t>003086,57</t>
  </si>
  <si>
    <t>010065,57</t>
  </si>
  <si>
    <t>003086,59</t>
  </si>
  <si>
    <t>010065,64</t>
  </si>
  <si>
    <t>003086,60</t>
  </si>
  <si>
    <t>010065,74</t>
  </si>
  <si>
    <t>003086,62</t>
  </si>
  <si>
    <t>010065,84</t>
  </si>
  <si>
    <t>003086,63</t>
  </si>
  <si>
    <t>010065,92</t>
  </si>
  <si>
    <t>003086,64</t>
  </si>
  <si>
    <t>71</t>
  </si>
  <si>
    <t>010066,05</t>
  </si>
  <si>
    <t>003086,66</t>
  </si>
  <si>
    <t>010066,15</t>
  </si>
  <si>
    <t>003086,68</t>
  </si>
  <si>
    <t>010066,26</t>
  </si>
  <si>
    <t>003086,70</t>
  </si>
  <si>
    <t>010066,36</t>
  </si>
  <si>
    <t>003086,72</t>
  </si>
  <si>
    <t>010066,47</t>
  </si>
  <si>
    <t>003086,74</t>
  </si>
  <si>
    <t>010066,57</t>
  </si>
  <si>
    <t>003086,75</t>
  </si>
  <si>
    <t>57</t>
  </si>
  <si>
    <t>010066,67</t>
  </si>
  <si>
    <t>003086,77</t>
  </si>
  <si>
    <t>010066,74</t>
  </si>
  <si>
    <t>003086,78</t>
  </si>
  <si>
    <t>010066,82</t>
  </si>
  <si>
    <t>003086,79</t>
  </si>
  <si>
    <t>37</t>
  </si>
  <si>
    <t>010066,88</t>
  </si>
  <si>
    <t>003086,81</t>
  </si>
  <si>
    <t>яч.39</t>
  </si>
  <si>
    <t>ф."ТП-220 яч.1"</t>
  </si>
  <si>
    <t>002351,45</t>
  </si>
  <si>
    <t>000626,99</t>
  </si>
  <si>
    <t>002351,46</t>
  </si>
  <si>
    <t>002351,48</t>
  </si>
  <si>
    <t>002351,49</t>
  </si>
  <si>
    <t>002351,51</t>
  </si>
  <si>
    <t>002351,53</t>
  </si>
  <si>
    <t>000627,00</t>
  </si>
  <si>
    <t>002351,57</t>
  </si>
  <si>
    <t>002351,59</t>
  </si>
  <si>
    <t>000627,01</t>
  </si>
  <si>
    <t>002351,60</t>
  </si>
  <si>
    <t>002351,63</t>
  </si>
  <si>
    <t>002351,64</t>
  </si>
  <si>
    <t>002351,67</t>
  </si>
  <si>
    <t>002351,70</t>
  </si>
  <si>
    <t>000627,02</t>
  </si>
  <si>
    <t>002351,72</t>
  </si>
  <si>
    <t>3</t>
  </si>
  <si>
    <t>002351,75</t>
  </si>
  <si>
    <t>002351,78</t>
  </si>
  <si>
    <t>000627,03</t>
  </si>
  <si>
    <t>2</t>
  </si>
  <si>
    <t>002351,81</t>
  </si>
  <si>
    <t>002351,85</t>
  </si>
  <si>
    <t>002351,89</t>
  </si>
  <si>
    <t>002351,93</t>
  </si>
  <si>
    <t>000627,04</t>
  </si>
  <si>
    <t>002351,98</t>
  </si>
  <si>
    <t>000627,05</t>
  </si>
  <si>
    <t>002352,02</t>
  </si>
  <si>
    <t>002352,07</t>
  </si>
  <si>
    <t>000627,06</t>
  </si>
  <si>
    <t>яч.47</t>
  </si>
  <si>
    <t>ф."ТП-589 яч.11"</t>
  </si>
  <si>
    <t>006010,63</t>
  </si>
  <si>
    <t>000781,70</t>
  </si>
  <si>
    <t>006010,79</t>
  </si>
  <si>
    <t>000781,71</t>
  </si>
  <si>
    <t>006010,97</t>
  </si>
  <si>
    <t>000781,73</t>
  </si>
  <si>
    <t>006011,15</t>
  </si>
  <si>
    <t>000781,74</t>
  </si>
  <si>
    <t>006011,33</t>
  </si>
  <si>
    <t>000781,75</t>
  </si>
  <si>
    <t>006011,48</t>
  </si>
  <si>
    <t>006011,82</t>
  </si>
  <si>
    <t>000781,77</t>
  </si>
  <si>
    <t>202</t>
  </si>
  <si>
    <t>006012,07</t>
  </si>
  <si>
    <t>000781,79</t>
  </si>
  <si>
    <t>203</t>
  </si>
  <si>
    <t>006012,24</t>
  </si>
  <si>
    <t>209</t>
  </si>
  <si>
    <t>006012,53</t>
  </si>
  <si>
    <t>000781,81</t>
  </si>
  <si>
    <t>222</t>
  </si>
  <si>
    <t>006012,77</t>
  </si>
  <si>
    <t>000781,82</t>
  </si>
  <si>
    <t>006013,10</t>
  </si>
  <si>
    <t>000781,84</t>
  </si>
  <si>
    <t>214</t>
  </si>
  <si>
    <t>006013,41</t>
  </si>
  <si>
    <t>000781,86</t>
  </si>
  <si>
    <t>216</t>
  </si>
  <si>
    <t>006013,64</t>
  </si>
  <si>
    <t>000781,87</t>
  </si>
  <si>
    <t>223</t>
  </si>
  <si>
    <t>006013,99</t>
  </si>
  <si>
    <t>000781,90</t>
  </si>
  <si>
    <t>006014,38</t>
  </si>
  <si>
    <t>000781,92</t>
  </si>
  <si>
    <t>224</t>
  </si>
  <si>
    <t>006014,69</t>
  </si>
  <si>
    <t>000781,94</t>
  </si>
  <si>
    <t>232</t>
  </si>
  <si>
    <t>006014,99</t>
  </si>
  <si>
    <t>000781,96</t>
  </si>
  <si>
    <t>226</t>
  </si>
  <si>
    <t>006015,31</t>
  </si>
  <si>
    <t>000781,98</t>
  </si>
  <si>
    <t>230</t>
  </si>
  <si>
    <t>006015,63</t>
  </si>
  <si>
    <t>000782,00</t>
  </si>
  <si>
    <t>213</t>
  </si>
  <si>
    <t>006015,99</t>
  </si>
  <si>
    <t>000782,02</t>
  </si>
  <si>
    <t>006016,24</t>
  </si>
  <si>
    <t>000782,04</t>
  </si>
  <si>
    <t>138</t>
  </si>
  <si>
    <t>006016,48</t>
  </si>
  <si>
    <t>000782,06</t>
  </si>
  <si>
    <t>131</t>
  </si>
  <si>
    <t>006016,68</t>
  </si>
  <si>
    <t>000782,07</t>
  </si>
  <si>
    <t>яч.59</t>
  </si>
  <si>
    <t>ф."ТП-200 яч.8"</t>
  </si>
  <si>
    <t>002570,42</t>
  </si>
  <si>
    <t>000747,77</t>
  </si>
  <si>
    <t>002570,45</t>
  </si>
  <si>
    <t>000747,78</t>
  </si>
  <si>
    <t>002570,48</t>
  </si>
  <si>
    <t>002570,50</t>
  </si>
  <si>
    <t>000747,79</t>
  </si>
  <si>
    <t>002570,53</t>
  </si>
  <si>
    <t>000747,80</t>
  </si>
  <si>
    <t>002570,57</t>
  </si>
  <si>
    <t>000747,81</t>
  </si>
  <si>
    <t>002570,63</t>
  </si>
  <si>
    <t>000747,82</t>
  </si>
  <si>
    <t>002570,68</t>
  </si>
  <si>
    <t>000747,83</t>
  </si>
  <si>
    <t>002570,71</t>
  </si>
  <si>
    <t>000747,84</t>
  </si>
  <si>
    <t>002570,76</t>
  </si>
  <si>
    <t>000747,85</t>
  </si>
  <si>
    <t>002570,80</t>
  </si>
  <si>
    <t>002570,86</t>
  </si>
  <si>
    <t>000747,86</t>
  </si>
  <si>
    <t>002570,91</t>
  </si>
  <si>
    <t>000747,87</t>
  </si>
  <si>
    <t>002570,96</t>
  </si>
  <si>
    <t>000747,88</t>
  </si>
  <si>
    <t>002571,03</t>
  </si>
  <si>
    <t>000747,89</t>
  </si>
  <si>
    <t>002571,09</t>
  </si>
  <si>
    <t>000747,90</t>
  </si>
  <si>
    <t>002571,15</t>
  </si>
  <si>
    <t>000747,91</t>
  </si>
  <si>
    <t>002571,20</t>
  </si>
  <si>
    <t>000747,92</t>
  </si>
  <si>
    <t>002571,26</t>
  </si>
  <si>
    <t>000747,93</t>
  </si>
  <si>
    <t>002571,32</t>
  </si>
  <si>
    <t>000747,94</t>
  </si>
  <si>
    <t>002571,38</t>
  </si>
  <si>
    <t>000747,95</t>
  </si>
  <si>
    <t>002571,43</t>
  </si>
  <si>
    <t>000747,96</t>
  </si>
  <si>
    <t>002571,47</t>
  </si>
  <si>
    <t>000747,97</t>
  </si>
  <si>
    <t>002571,50</t>
  </si>
  <si>
    <t>000747,98</t>
  </si>
  <si>
    <t>яч.61</t>
  </si>
  <si>
    <t>ф."ТП-219 яч.5"</t>
  </si>
  <si>
    <t>001137,92</t>
  </si>
  <si>
    <t>000329,63</t>
  </si>
  <si>
    <t>001137,95</t>
  </si>
  <si>
    <t>000329,64</t>
  </si>
  <si>
    <t>001137,98</t>
  </si>
  <si>
    <t>000329,65</t>
  </si>
  <si>
    <t>001138,01</t>
  </si>
  <si>
    <t>000329,66</t>
  </si>
  <si>
    <t>001138,05</t>
  </si>
  <si>
    <t>000329,67</t>
  </si>
  <si>
    <t>001138,08</t>
  </si>
  <si>
    <t>001138,15</t>
  </si>
  <si>
    <t>000329,69</t>
  </si>
  <si>
    <t>001138,18</t>
  </si>
  <si>
    <t>000329,70</t>
  </si>
  <si>
    <t>001138,21</t>
  </si>
  <si>
    <t>000329,71</t>
  </si>
  <si>
    <t>001138,25</t>
  </si>
  <si>
    <t>000329,72</t>
  </si>
  <si>
    <t>001138,28</t>
  </si>
  <si>
    <t>000329,73</t>
  </si>
  <si>
    <t>001138,33</t>
  </si>
  <si>
    <t>000329,74</t>
  </si>
  <si>
    <t>001138,37</t>
  </si>
  <si>
    <t>000329,75</t>
  </si>
  <si>
    <t>001138,40</t>
  </si>
  <si>
    <t>000329,76</t>
  </si>
  <si>
    <t>001138,47</t>
  </si>
  <si>
    <t>000329,77</t>
  </si>
  <si>
    <t>19</t>
  </si>
  <si>
    <t>001138,52</t>
  </si>
  <si>
    <t>000329,78</t>
  </si>
  <si>
    <t>001138,58</t>
  </si>
  <si>
    <t>000329,79</t>
  </si>
  <si>
    <t>001138,64</t>
  </si>
  <si>
    <t>000329,81</t>
  </si>
  <si>
    <t>001138,70</t>
  </si>
  <si>
    <t>000329,82</t>
  </si>
  <si>
    <t>21</t>
  </si>
  <si>
    <t>001138,75</t>
  </si>
  <si>
    <t>000329,83</t>
  </si>
  <si>
    <t>001138,82</t>
  </si>
  <si>
    <t>000329,85</t>
  </si>
  <si>
    <t>001138,87</t>
  </si>
  <si>
    <t>000329,86</t>
  </si>
  <si>
    <t>001138,92</t>
  </si>
  <si>
    <t>000329,87</t>
  </si>
  <si>
    <t>001138,96</t>
  </si>
  <si>
    <t>000329,88</t>
  </si>
  <si>
    <t>яч.42</t>
  </si>
  <si>
    <t>ф."ТП-220 яч.2"</t>
  </si>
  <si>
    <t>001858,46</t>
  </si>
  <si>
    <t>000475,86</t>
  </si>
  <si>
    <t>001858,49</t>
  </si>
  <si>
    <t>000475,87</t>
  </si>
  <si>
    <t>001858,53</t>
  </si>
  <si>
    <t>000475,88</t>
  </si>
  <si>
    <t>001858,56</t>
  </si>
  <si>
    <t>000475,89</t>
  </si>
  <si>
    <t>001858,60</t>
  </si>
  <si>
    <t>001858,63</t>
  </si>
  <si>
    <t>000475,90</t>
  </si>
  <si>
    <t>001858,70</t>
  </si>
  <si>
    <t>000475,92</t>
  </si>
  <si>
    <t>001858,74</t>
  </si>
  <si>
    <t>000475,93</t>
  </si>
  <si>
    <t>001858,77</t>
  </si>
  <si>
    <t>000475,94</t>
  </si>
  <si>
    <t>001858,82</t>
  </si>
  <si>
    <t>000475,95</t>
  </si>
  <si>
    <t>001858,85</t>
  </si>
  <si>
    <t>000475,96</t>
  </si>
  <si>
    <t>001858,90</t>
  </si>
  <si>
    <t>000475,97</t>
  </si>
  <si>
    <t>001858,95</t>
  </si>
  <si>
    <t>000475,99</t>
  </si>
  <si>
    <t>001858,99</t>
  </si>
  <si>
    <t>001859,06</t>
  </si>
  <si>
    <t>000476,01</t>
  </si>
  <si>
    <t>001859,12</t>
  </si>
  <si>
    <t>000476,03</t>
  </si>
  <si>
    <t>001859,18</t>
  </si>
  <si>
    <t>000476,05</t>
  </si>
  <si>
    <t>001859,25</t>
  </si>
  <si>
    <t>000476,06</t>
  </si>
  <si>
    <t>001859,31</t>
  </si>
  <si>
    <t>000476,07</t>
  </si>
  <si>
    <t>001859,37</t>
  </si>
  <si>
    <t>000476,09</t>
  </si>
  <si>
    <t>001859,43</t>
  </si>
  <si>
    <t>000476,11</t>
  </si>
  <si>
    <t>001859,47</t>
  </si>
  <si>
    <t>000476,12</t>
  </si>
  <si>
    <t>001859,52</t>
  </si>
  <si>
    <t>000476,13</t>
  </si>
  <si>
    <t>001859,56</t>
  </si>
  <si>
    <t>000476,14</t>
  </si>
  <si>
    <t>яч.48</t>
  </si>
  <si>
    <t>ф."ТП-200 яч.7"</t>
  </si>
  <si>
    <t>003679,05</t>
  </si>
  <si>
    <t>000887,83</t>
  </si>
  <si>
    <t>003679,09</t>
  </si>
  <si>
    <t>003679,12</t>
  </si>
  <si>
    <t>000887,84</t>
  </si>
  <si>
    <t>003679,16</t>
  </si>
  <si>
    <t>000887,85</t>
  </si>
  <si>
    <t>003679,20</t>
  </si>
  <si>
    <t>000887,86</t>
  </si>
  <si>
    <t>003679,25</t>
  </si>
  <si>
    <t>003679,33</t>
  </si>
  <si>
    <t>000887,88</t>
  </si>
  <si>
    <t>003679,38</t>
  </si>
  <si>
    <t>000887,89</t>
  </si>
  <si>
    <t>003679,41</t>
  </si>
  <si>
    <t>000887,90</t>
  </si>
  <si>
    <t>003679,47</t>
  </si>
  <si>
    <t>000887,91</t>
  </si>
  <si>
    <t>003679,52</t>
  </si>
  <si>
    <t>000887,92</t>
  </si>
  <si>
    <t>003679,58</t>
  </si>
  <si>
    <t>000887,93</t>
  </si>
  <si>
    <t>003679,64</t>
  </si>
  <si>
    <t>000887,95</t>
  </si>
  <si>
    <t>003679,69</t>
  </si>
  <si>
    <t>000887,96</t>
  </si>
  <si>
    <t>003679,77</t>
  </si>
  <si>
    <t>000887,97</t>
  </si>
  <si>
    <t>003679,84</t>
  </si>
  <si>
    <t>000889,99</t>
  </si>
  <si>
    <t>003679,90</t>
  </si>
  <si>
    <t>000888,00</t>
  </si>
  <si>
    <t>24</t>
  </si>
  <si>
    <t>003679,97</t>
  </si>
  <si>
    <t>000888,01</t>
  </si>
  <si>
    <t>003680,04</t>
  </si>
  <si>
    <t>000888,02</t>
  </si>
  <si>
    <t>003680,11</t>
  </si>
  <si>
    <t>000888,03</t>
  </si>
  <si>
    <t>003680,19</t>
  </si>
  <si>
    <t>000888,04</t>
  </si>
  <si>
    <t>003680,25</t>
  </si>
  <si>
    <t>000888,05</t>
  </si>
  <si>
    <t>003680,30</t>
  </si>
  <si>
    <t>000888,06</t>
  </si>
  <si>
    <t>003680,35</t>
  </si>
  <si>
    <t>000888,07</t>
  </si>
  <si>
    <t>яч.54</t>
  </si>
  <si>
    <t>ф."ТП-219 яч.6"</t>
  </si>
  <si>
    <t>откл</t>
  </si>
  <si>
    <t>001582,20</t>
  </si>
  <si>
    <t>000564,44</t>
  </si>
  <si>
    <t>яч.56</t>
  </si>
  <si>
    <t>ф."ТП-589 яч.12"</t>
  </si>
  <si>
    <t>004223,41</t>
  </si>
  <si>
    <t>000652,59</t>
  </si>
  <si>
    <t>004223,51</t>
  </si>
  <si>
    <t>000652,60</t>
  </si>
  <si>
    <t>004223,62</t>
  </si>
  <si>
    <t>000652,61</t>
  </si>
  <si>
    <t>004223,72</t>
  </si>
  <si>
    <t>000652,62</t>
  </si>
  <si>
    <t>004223,82</t>
  </si>
  <si>
    <t>000652,63</t>
  </si>
  <si>
    <t>004223,92</t>
  </si>
  <si>
    <t>000652,64</t>
  </si>
  <si>
    <t>004224,16</t>
  </si>
  <si>
    <t>000652,67</t>
  </si>
  <si>
    <t>143</t>
  </si>
  <si>
    <t>004224,33</t>
  </si>
  <si>
    <t>000652,68</t>
  </si>
  <si>
    <t>004224,45</t>
  </si>
  <si>
    <t>000652,70</t>
  </si>
  <si>
    <t>00422465</t>
  </si>
  <si>
    <t>000652,71</t>
  </si>
  <si>
    <t>144</t>
  </si>
  <si>
    <t>004224,80</t>
  </si>
  <si>
    <t>000652,73</t>
  </si>
  <si>
    <t>004225,02</t>
  </si>
  <si>
    <t>000652,75</t>
  </si>
  <si>
    <t>004225,22</t>
  </si>
  <si>
    <t>000652,77</t>
  </si>
  <si>
    <t>004225,36</t>
  </si>
  <si>
    <t>000652,78</t>
  </si>
  <si>
    <t>145</t>
  </si>
  <si>
    <t>004225,64</t>
  </si>
  <si>
    <t>000652,81</t>
  </si>
  <si>
    <t>004225,82</t>
  </si>
  <si>
    <t>000652,82</t>
  </si>
  <si>
    <t>004226,03</t>
  </si>
  <si>
    <t>000652,84</t>
  </si>
  <si>
    <t>004226,23</t>
  </si>
  <si>
    <t>000652,86</t>
  </si>
  <si>
    <t>124</t>
  </si>
  <si>
    <t>004226,42</t>
  </si>
  <si>
    <t>000652,88</t>
  </si>
  <si>
    <t>004226,61</t>
  </si>
  <si>
    <t>000652,89</t>
  </si>
  <si>
    <t>111</t>
  </si>
  <si>
    <t>004226,81</t>
  </si>
  <si>
    <t>000652,91</t>
  </si>
  <si>
    <t>004226,94</t>
  </si>
  <si>
    <t>000652,93</t>
  </si>
  <si>
    <t>004227,06</t>
  </si>
  <si>
    <t>63</t>
  </si>
  <si>
    <t>004227,17</t>
  </si>
  <si>
    <t>000652,95</t>
  </si>
  <si>
    <t>яч.58</t>
  </si>
  <si>
    <t>ф."РП-104 яч.19"</t>
  </si>
  <si>
    <t>010935,09</t>
  </si>
  <si>
    <t>003366,17</t>
  </si>
  <si>
    <t>010935,14</t>
  </si>
  <si>
    <t>003366,18</t>
  </si>
  <si>
    <t>010935,20</t>
  </si>
  <si>
    <t>003366,20</t>
  </si>
  <si>
    <t>010935,26</t>
  </si>
  <si>
    <t>003366,21</t>
  </si>
  <si>
    <t>010935,33</t>
  </si>
  <si>
    <t>003366,22</t>
  </si>
  <si>
    <t>010935,40</t>
  </si>
  <si>
    <t>003366,23</t>
  </si>
  <si>
    <t>010935,56</t>
  </si>
  <si>
    <t>003366,26</t>
  </si>
  <si>
    <t>010935,67</t>
  </si>
  <si>
    <t>003366,28</t>
  </si>
  <si>
    <t>010935,74</t>
  </si>
  <si>
    <t>003366,29</t>
  </si>
  <si>
    <t>010935,86</t>
  </si>
  <si>
    <t>003366,31</t>
  </si>
  <si>
    <t>88</t>
  </si>
  <si>
    <t>010935,96</t>
  </si>
  <si>
    <t>003366,33</t>
  </si>
  <si>
    <t>010936,09</t>
  </si>
  <si>
    <t>003366,36</t>
  </si>
  <si>
    <t>010936,21</t>
  </si>
  <si>
    <t>003366,38</t>
  </si>
  <si>
    <t>010936,30</t>
  </si>
  <si>
    <t>003366,39</t>
  </si>
  <si>
    <t>010936,48</t>
  </si>
  <si>
    <t>003366,43</t>
  </si>
  <si>
    <t>010936,62</t>
  </si>
  <si>
    <t>003366,45</t>
  </si>
  <si>
    <t>010936,75</t>
  </si>
  <si>
    <t>003366,47</t>
  </si>
  <si>
    <t>010936,89</t>
  </si>
  <si>
    <t>003366,50</t>
  </si>
  <si>
    <t>97</t>
  </si>
  <si>
    <t>010937,03</t>
  </si>
  <si>
    <t>003366,52</t>
  </si>
  <si>
    <t>010937,17</t>
  </si>
  <si>
    <t>003366,54</t>
  </si>
  <si>
    <t>010937,31</t>
  </si>
  <si>
    <t>003366,56</t>
  </si>
  <si>
    <t>010937,42</t>
  </si>
  <si>
    <t>003366,58</t>
  </si>
  <si>
    <t>56</t>
  </si>
  <si>
    <t>010937,52</t>
  </si>
  <si>
    <t>003366,60</t>
  </si>
  <si>
    <t>010937,59</t>
  </si>
  <si>
    <t>003366,62</t>
  </si>
  <si>
    <t>Руководитель организации    ________________     /                                      /</t>
  </si>
  <si>
    <t>Ведомость контрольного замера по ПС: 110/10 кВ «МДФ»</t>
  </si>
  <si>
    <t>Дата:</t>
  </si>
  <si>
    <t>Диспет. 
наимен.</t>
  </si>
  <si>
    <t xml:space="preserve"> S ном, 
МВА</t>
  </si>
  <si>
    <t>Ток</t>
  </si>
  <si>
    <t>Pнагр.</t>
  </si>
  <si>
    <t>Qнагр.</t>
  </si>
  <si>
    <t>А</t>
  </si>
  <si>
    <t>МВт</t>
  </si>
  <si>
    <t>Мвар</t>
  </si>
  <si>
    <t xml:space="preserve">РПН </t>
  </si>
  <si>
    <t>Напряж.</t>
  </si>
  <si>
    <t xml:space="preserve">2Т </t>
  </si>
  <si>
    <t>Всего</t>
  </si>
  <si>
    <t>cosФ(110)=</t>
  </si>
  <si>
    <t>tgФ(110)=</t>
  </si>
  <si>
    <t>cosФ(10)=</t>
  </si>
  <si>
    <t>tgФ(10)=</t>
  </si>
  <si>
    <t>Замер по</t>
  </si>
  <si>
    <t>ВЛ- 10 кВ</t>
  </si>
  <si>
    <t>яч. №15</t>
  </si>
  <si>
    <t>ф."Мортка-1"</t>
  </si>
  <si>
    <t>яч. №18</t>
  </si>
  <si>
    <t>ф."СУ-967"</t>
  </si>
  <si>
    <t>яч. №19</t>
  </si>
  <si>
    <t>ф."Завод-1"</t>
  </si>
  <si>
    <t>яч. №4</t>
  </si>
  <si>
    <t>ф."Микрорайон"</t>
  </si>
  <si>
    <t>яч. №16</t>
  </si>
  <si>
    <t>ф."Мортка-2"</t>
  </si>
  <si>
    <t>яч. №20</t>
  </si>
  <si>
    <t>ф."Завод-2"</t>
  </si>
  <si>
    <t>ТСН-1</t>
  </si>
  <si>
    <t>ТСН-2</t>
  </si>
  <si>
    <t>Итого по отх.ВЛ от 1С-10 кВ</t>
  </si>
  <si>
    <t>Итого по отх.ВЛ от 2С-10 кВ</t>
  </si>
  <si>
    <t>Итого по ВЛ-10 кВ</t>
  </si>
  <si>
    <t>РАСЧЕТ ПОТЕРЬ  В ТРАНСФОРМАТОРАХ</t>
  </si>
  <si>
    <t>Потери пост.</t>
  </si>
  <si>
    <t xml:space="preserve">  Px.x+j    Qx.x.</t>
  </si>
  <si>
    <t>+j</t>
  </si>
  <si>
    <t>Потери перем.</t>
  </si>
  <si>
    <t xml:space="preserve">  Рпер+j  Qпер.</t>
  </si>
  <si>
    <t>Рхх=</t>
  </si>
  <si>
    <t>Qхх=</t>
  </si>
  <si>
    <t>Ркз(10)=</t>
  </si>
  <si>
    <t>Uкз%(10)=</t>
  </si>
  <si>
    <t>Полная нагрузка с потерями</t>
  </si>
  <si>
    <t>Суммарная нагрузка</t>
  </si>
  <si>
    <t xml:space="preserve">ПС с потерями </t>
  </si>
  <si>
    <t>S p</t>
  </si>
  <si>
    <t>средневзв тангенс</t>
  </si>
  <si>
    <t>время московское</t>
  </si>
  <si>
    <t>Ведомость контрольного замера по ПС: 110/35/10 кВ «ЮМАС»</t>
  </si>
  <si>
    <t>cosФ(35)=</t>
  </si>
  <si>
    <t>tgФ(35)=</t>
  </si>
  <si>
    <t>ВЛ- 35 кВ</t>
  </si>
  <si>
    <t>ВЛ-35 кВ</t>
  </si>
  <si>
    <t>ф."ВЛ Ямки"</t>
  </si>
  <si>
    <t>ф."ВЛ ЛПК"</t>
  </si>
  <si>
    <t>Итого по отх.ВЛ от 1С-35 кВ</t>
  </si>
  <si>
    <t>Итого по отх.ВЛ от 2С-35 кВ</t>
  </si>
  <si>
    <t>Итого по ВЛ-35 кВ</t>
  </si>
  <si>
    <t>ф."Паркет"</t>
  </si>
  <si>
    <t>ф."Луговой"</t>
  </si>
  <si>
    <t>ф."Вокзал"</t>
  </si>
  <si>
    <t>ф."Листвиничный"</t>
  </si>
  <si>
    <t>ф."Поселковый-1"</t>
  </si>
  <si>
    <t>яч.17</t>
  </si>
  <si>
    <t>ф."РП№3-1"</t>
  </si>
  <si>
    <t>яч.4</t>
  </si>
  <si>
    <t>ф."Станция"</t>
  </si>
  <si>
    <t>яч.6</t>
  </si>
  <si>
    <t>ф."Леуши"</t>
  </si>
  <si>
    <t>ф."Промплощадка"</t>
  </si>
  <si>
    <t>ф."Поселковый-2"</t>
  </si>
  <si>
    <t>ф."РП№3-2"</t>
  </si>
  <si>
    <t>Ркз(110)=</t>
  </si>
  <si>
    <t>Ркз(35)=</t>
  </si>
  <si>
    <t>Uкз%(110)=</t>
  </si>
  <si>
    <t>Uкз%(35)=</t>
  </si>
  <si>
    <t>Приложение 1</t>
  </si>
  <si>
    <t>Приложение2</t>
  </si>
  <si>
    <t>Ведомость контрольного замера по п/ст:</t>
  </si>
  <si>
    <t>АВАНГАРД</t>
  </si>
  <si>
    <t>час.</t>
  </si>
  <si>
    <t>Диспет.</t>
  </si>
  <si>
    <t xml:space="preserve"> Sном</t>
  </si>
  <si>
    <t>наимен.</t>
  </si>
  <si>
    <t>МВА</t>
  </si>
  <si>
    <t>МВАр</t>
  </si>
  <si>
    <t>110кВ</t>
  </si>
  <si>
    <t>120,6</t>
  </si>
  <si>
    <t>119,3</t>
  </si>
  <si>
    <t>РП-20-1</t>
  </si>
  <si>
    <t>РП-20-2</t>
  </si>
  <si>
    <t>РП-22-1</t>
  </si>
  <si>
    <t>РП-22-2</t>
  </si>
  <si>
    <t>РП-23-1</t>
  </si>
  <si>
    <t>РП-23-2</t>
  </si>
  <si>
    <t>РП-25-1</t>
  </si>
  <si>
    <t>РП-25-2</t>
  </si>
  <si>
    <t>ТП-205-1</t>
  </si>
  <si>
    <t>ТП-205-2</t>
  </si>
  <si>
    <t>Самарово-1</t>
  </si>
  <si>
    <t>Самарово-2</t>
  </si>
  <si>
    <t>Рыбозавод-1</t>
  </si>
  <si>
    <t>Рыбозавод-2</t>
  </si>
  <si>
    <r>
      <t>Р</t>
    </r>
    <r>
      <rPr>
        <sz val="7"/>
        <rFont val="Arial Cyr"/>
        <charset val="204"/>
      </rPr>
      <t>хх</t>
    </r>
    <r>
      <rPr>
        <sz val="8"/>
        <rFont val="Arial Cyr"/>
        <family val="2"/>
        <charset val="204"/>
      </rPr>
      <t>=</t>
    </r>
  </si>
  <si>
    <r>
      <t>Q</t>
    </r>
    <r>
      <rPr>
        <sz val="7"/>
        <rFont val="Arial Cyr"/>
        <charset val="204"/>
      </rPr>
      <t>хх</t>
    </r>
    <r>
      <rPr>
        <sz val="9"/>
        <rFont val="Arial Cyr"/>
        <family val="2"/>
        <charset val="204"/>
      </rPr>
      <t>=</t>
    </r>
  </si>
  <si>
    <t xml:space="preserve">  время московское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</si>
</sst>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.00_ ;\-#,##0.00\ "/>
  </numFmts>
  <fonts count="4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"/>
      <family val="2"/>
      <charset val="204"/>
    </font>
    <font>
      <b/>
      <sz val="20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 Cyr"/>
    </font>
    <font>
      <sz val="13"/>
      <color indexed="12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0"/>
      <color theme="1"/>
      <name val="Arial Cyr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1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14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sz val="7"/>
      <name val="Arial Cyr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sz val="7"/>
      <name val="Arial Cyr"/>
      <family val="2"/>
      <charset val="204"/>
    </font>
    <font>
      <b/>
      <sz val="9"/>
      <name val="Arial Cyr"/>
      <family val="2"/>
      <charset val="204"/>
    </font>
    <font>
      <b/>
      <sz val="11"/>
      <name val="Arial Cyr"/>
      <family val="2"/>
      <charset val="204"/>
    </font>
    <font>
      <sz val="10"/>
      <color indexed="12"/>
      <name val="Arial Cyr"/>
      <charset val="204"/>
    </font>
    <font>
      <b/>
      <sz val="11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/>
      </right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2" fillId="0" borderId="0"/>
    <xf numFmtId="0" fontId="1" fillId="0" borderId="0"/>
  </cellStyleXfs>
  <cellXfs count="1485">
    <xf numFmtId="0" fontId="0" fillId="0" borderId="0" xfId="0"/>
    <xf numFmtId="0" fontId="3" fillId="0" borderId="0" xfId="1" applyFont="1"/>
    <xf numFmtId="0" fontId="1" fillId="0" borderId="0" xfId="1"/>
    <xf numFmtId="0" fontId="1" fillId="0" borderId="0" xfId="1" applyBorder="1"/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166" fontId="3" fillId="0" borderId="0" xfId="1" applyNumberFormat="1" applyFont="1" applyBorder="1" applyAlignment="1">
      <alignment horizontal="left"/>
    </xf>
    <xf numFmtId="0" fontId="4" fillId="0" borderId="0" xfId="1" applyFont="1"/>
    <xf numFmtId="0" fontId="4" fillId="0" borderId="0" xfId="1" applyFont="1" applyAlignment="1">
      <alignment horizontal="right"/>
    </xf>
    <xf numFmtId="0" fontId="4" fillId="0" borderId="35" xfId="1" applyFont="1" applyBorder="1"/>
    <xf numFmtId="164" fontId="4" fillId="0" borderId="36" xfId="1" applyNumberFormat="1" applyFont="1" applyBorder="1"/>
    <xf numFmtId="164" fontId="4" fillId="0" borderId="37" xfId="1" applyNumberFormat="1" applyFont="1" applyBorder="1"/>
    <xf numFmtId="164" fontId="4" fillId="0" borderId="47" xfId="1" applyNumberFormat="1" applyFont="1" applyBorder="1"/>
    <xf numFmtId="164" fontId="4" fillId="0" borderId="48" xfId="1" applyNumberFormat="1" applyFont="1" applyBorder="1"/>
    <xf numFmtId="2" fontId="4" fillId="0" borderId="47" xfId="1" applyNumberFormat="1" applyFont="1" applyBorder="1"/>
    <xf numFmtId="2" fontId="4" fillId="0" borderId="50" xfId="1" applyNumberFormat="1" applyFont="1" applyBorder="1"/>
    <xf numFmtId="1" fontId="4" fillId="0" borderId="35" xfId="1" applyNumberFormat="1" applyFont="1" applyBorder="1"/>
    <xf numFmtId="164" fontId="4" fillId="0" borderId="55" xfId="1" applyNumberFormat="1" applyFont="1" applyBorder="1"/>
    <xf numFmtId="164" fontId="4" fillId="0" borderId="35" xfId="1" applyNumberFormat="1" applyFont="1" applyBorder="1"/>
    <xf numFmtId="1" fontId="4" fillId="0" borderId="46" xfId="1" applyNumberFormat="1" applyFont="1" applyBorder="1"/>
    <xf numFmtId="164" fontId="4" fillId="0" borderId="50" xfId="1" applyNumberFormat="1" applyFont="1" applyBorder="1"/>
    <xf numFmtId="164" fontId="4" fillId="0" borderId="46" xfId="1" applyNumberFormat="1" applyFont="1" applyBorder="1"/>
    <xf numFmtId="0" fontId="4" fillId="0" borderId="20" xfId="1" applyFont="1" applyBorder="1"/>
    <xf numFmtId="0" fontId="4" fillId="0" borderId="21" xfId="1" applyFont="1" applyBorder="1"/>
    <xf numFmtId="0" fontId="4" fillId="0" borderId="21" xfId="1" applyFont="1" applyBorder="1" applyAlignment="1">
      <alignment horizontal="left"/>
    </xf>
    <xf numFmtId="166" fontId="4" fillId="0" borderId="22" xfId="1" applyNumberFormat="1" applyFont="1" applyBorder="1" applyAlignment="1">
      <alignment horizontal="left"/>
    </xf>
    <xf numFmtId="0" fontId="4" fillId="0" borderId="0" xfId="1" applyFont="1" applyBorder="1"/>
    <xf numFmtId="166" fontId="4" fillId="0" borderId="39" xfId="1" applyNumberFormat="1" applyFont="1" applyBorder="1" applyAlignment="1">
      <alignment horizontal="left"/>
    </xf>
    <xf numFmtId="0" fontId="4" fillId="0" borderId="27" xfId="1" applyFont="1" applyBorder="1"/>
    <xf numFmtId="0" fontId="4" fillId="0" borderId="16" xfId="1" applyFont="1" applyBorder="1"/>
    <xf numFmtId="0" fontId="4" fillId="0" borderId="16" xfId="1" applyFont="1" applyBorder="1" applyAlignment="1"/>
    <xf numFmtId="0" fontId="4" fillId="0" borderId="16" xfId="1" applyFont="1" applyBorder="1" applyAlignment="1">
      <alignment horizontal="left"/>
    </xf>
    <xf numFmtId="166" fontId="4" fillId="0" borderId="28" xfId="1" applyNumberFormat="1" applyFont="1" applyBorder="1" applyAlignment="1">
      <alignment horizontal="left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35" xfId="1" applyFont="1" applyBorder="1" applyAlignment="1">
      <alignment horizontal="center" vertical="center"/>
    </xf>
    <xf numFmtId="0" fontId="5" fillId="0" borderId="54" xfId="1" applyFont="1" applyBorder="1" applyAlignment="1">
      <alignment horizontal="left" vertical="center"/>
    </xf>
    <xf numFmtId="2" fontId="4" fillId="0" borderId="35" xfId="1" applyNumberFormat="1" applyFont="1" applyBorder="1"/>
    <xf numFmtId="2" fontId="4" fillId="0" borderId="36" xfId="1" applyNumberFormat="1" applyFont="1" applyBorder="1"/>
    <xf numFmtId="0" fontId="4" fillId="0" borderId="57" xfId="1" applyFont="1" applyBorder="1"/>
    <xf numFmtId="164" fontId="4" fillId="0" borderId="0" xfId="1" applyNumberFormat="1" applyFont="1" applyBorder="1"/>
    <xf numFmtId="166" fontId="4" fillId="0" borderId="21" xfId="1" applyNumberFormat="1" applyFont="1" applyBorder="1" applyAlignment="1">
      <alignment horizontal="left"/>
    </xf>
    <xf numFmtId="166" fontId="4" fillId="0" borderId="16" xfId="1" applyNumberFormat="1" applyFont="1" applyBorder="1" applyAlignment="1">
      <alignment horizontal="left"/>
    </xf>
    <xf numFmtId="166" fontId="4" fillId="0" borderId="0" xfId="1" applyNumberFormat="1" applyFont="1" applyBorder="1" applyAlignment="1">
      <alignment horizontal="left"/>
    </xf>
    <xf numFmtId="0" fontId="5" fillId="0" borderId="21" xfId="1" applyFont="1" applyBorder="1" applyAlignment="1">
      <alignment horizontal="center" vertical="center" textRotation="90"/>
    </xf>
    <xf numFmtId="0" fontId="5" fillId="0" borderId="20" xfId="1" applyFont="1" applyBorder="1" applyAlignment="1">
      <alignment horizontal="center" vertical="center" textRotation="90"/>
    </xf>
    <xf numFmtId="0" fontId="5" fillId="0" borderId="24" xfId="1" applyFont="1" applyBorder="1" applyAlignment="1">
      <alignment horizontal="center" vertical="center"/>
    </xf>
    <xf numFmtId="0" fontId="5" fillId="0" borderId="62" xfId="1" applyFont="1" applyBorder="1" applyAlignment="1">
      <alignment horizontal="left" vertical="center"/>
    </xf>
    <xf numFmtId="0" fontId="5" fillId="0" borderId="46" xfId="1" applyFont="1" applyBorder="1" applyAlignment="1">
      <alignment horizontal="center" vertical="center"/>
    </xf>
    <xf numFmtId="0" fontId="5" fillId="0" borderId="50" xfId="1" applyFont="1" applyBorder="1" applyAlignment="1">
      <alignment horizontal="left" vertical="center"/>
    </xf>
    <xf numFmtId="0" fontId="5" fillId="0" borderId="7" xfId="1" applyFont="1" applyBorder="1" applyAlignment="1">
      <alignment horizontal="center" vertical="center"/>
    </xf>
    <xf numFmtId="0" fontId="5" fillId="0" borderId="9" xfId="1" applyFont="1" applyBorder="1" applyAlignment="1">
      <alignment horizontal="left" vertical="center"/>
    </xf>
    <xf numFmtId="0" fontId="5" fillId="0" borderId="17" xfId="1" applyFont="1" applyBorder="1" applyAlignment="1">
      <alignment horizontal="center" textRotation="90"/>
    </xf>
    <xf numFmtId="0" fontId="5" fillId="0" borderId="63" xfId="1" applyFont="1" applyBorder="1" applyAlignment="1">
      <alignment horizontal="center" vertical="center" textRotation="90"/>
    </xf>
    <xf numFmtId="0" fontId="5" fillId="0" borderId="18" xfId="1" applyFont="1" applyBorder="1" applyAlignment="1">
      <alignment horizontal="center" vertical="center" textRotation="90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center" vertical="center"/>
    </xf>
    <xf numFmtId="0" fontId="5" fillId="0" borderId="67" xfId="1" applyFont="1" applyBorder="1" applyAlignment="1">
      <alignment horizontal="left" vertical="center"/>
    </xf>
    <xf numFmtId="0" fontId="5" fillId="0" borderId="60" xfId="1" applyFont="1" applyBorder="1" applyAlignment="1">
      <alignment horizontal="left" vertical="center"/>
    </xf>
    <xf numFmtId="0" fontId="5" fillId="0" borderId="57" xfId="1" applyFont="1" applyBorder="1" applyAlignment="1">
      <alignment horizontal="center" vertical="center"/>
    </xf>
    <xf numFmtId="2" fontId="4" fillId="0" borderId="57" xfId="1" applyNumberFormat="1" applyFont="1" applyBorder="1"/>
    <xf numFmtId="2" fontId="4" fillId="0" borderId="58" xfId="1" applyNumberFormat="1" applyFont="1" applyBorder="1"/>
    <xf numFmtId="0" fontId="5" fillId="0" borderId="30" xfId="1" applyFont="1" applyBorder="1" applyAlignment="1">
      <alignment horizontal="center" vertical="center"/>
    </xf>
    <xf numFmtId="0" fontId="5" fillId="0" borderId="68" xfId="1" applyFont="1" applyBorder="1" applyAlignment="1">
      <alignment horizontal="left" vertical="center"/>
    </xf>
    <xf numFmtId="0" fontId="5" fillId="0" borderId="69" xfId="1" applyFont="1" applyBorder="1" applyAlignment="1">
      <alignment horizontal="left" vertical="center"/>
    </xf>
    <xf numFmtId="0" fontId="5" fillId="0" borderId="70" xfId="1" applyFont="1" applyBorder="1" applyAlignment="1">
      <alignment horizontal="left" vertical="center"/>
    </xf>
    <xf numFmtId="0" fontId="5" fillId="0" borderId="24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5" fillId="0" borderId="31" xfId="1" applyFont="1" applyBorder="1" applyAlignment="1">
      <alignment horizontal="center" vertical="center" wrapText="1"/>
    </xf>
    <xf numFmtId="1" fontId="4" fillId="0" borderId="0" xfId="1" applyNumberFormat="1" applyFont="1" applyBorder="1"/>
    <xf numFmtId="0" fontId="5" fillId="0" borderId="0" xfId="1" applyFont="1" applyBorder="1" applyAlignment="1">
      <alignment horizontal="center" wrapText="1"/>
    </xf>
    <xf numFmtId="165" fontId="4" fillId="0" borderId="0" xfId="1" applyNumberFormat="1" applyFont="1" applyBorder="1" applyAlignment="1">
      <alignment horizontal="center"/>
    </xf>
    <xf numFmtId="1" fontId="4" fillId="0" borderId="0" xfId="1" applyNumberFormat="1" applyFont="1" applyBorder="1" applyAlignment="1">
      <alignment horizontal="center"/>
    </xf>
    <xf numFmtId="166" fontId="4" fillId="0" borderId="72" xfId="1" applyNumberFormat="1" applyFont="1" applyBorder="1" applyAlignment="1">
      <alignment horizontal="left"/>
    </xf>
    <xf numFmtId="166" fontId="4" fillId="0" borderId="71" xfId="1" applyNumberFormat="1" applyFont="1" applyBorder="1" applyAlignment="1">
      <alignment horizontal="left"/>
    </xf>
    <xf numFmtId="0" fontId="4" fillId="0" borderId="35" xfId="1" applyNumberFormat="1" applyFont="1" applyBorder="1"/>
    <xf numFmtId="0" fontId="4" fillId="0" borderId="36" xfId="1" applyNumberFormat="1" applyFont="1" applyBorder="1"/>
    <xf numFmtId="0" fontId="4" fillId="0" borderId="37" xfId="1" applyNumberFormat="1" applyFont="1" applyBorder="1"/>
    <xf numFmtId="0" fontId="4" fillId="0" borderId="57" xfId="1" applyNumberFormat="1" applyFont="1" applyBorder="1"/>
    <xf numFmtId="0" fontId="4" fillId="0" borderId="46" xfId="1" applyNumberFormat="1" applyFont="1" applyBorder="1" applyAlignment="1">
      <alignment horizontal="right"/>
    </xf>
    <xf numFmtId="0" fontId="4" fillId="0" borderId="47" xfId="1" applyNumberFormat="1" applyFont="1" applyBorder="1"/>
    <xf numFmtId="0" fontId="4" fillId="0" borderId="55" xfId="1" applyNumberFormat="1" applyFont="1" applyBorder="1"/>
    <xf numFmtId="0" fontId="4" fillId="0" borderId="50" xfId="1" applyNumberFormat="1" applyFont="1" applyBorder="1"/>
    <xf numFmtId="0" fontId="4" fillId="0" borderId="48" xfId="1" applyNumberFormat="1" applyFont="1" applyBorder="1"/>
    <xf numFmtId="0" fontId="4" fillId="0" borderId="46" xfId="1" applyNumberFormat="1" applyFont="1" applyBorder="1"/>
    <xf numFmtId="2" fontId="4" fillId="0" borderId="37" xfId="1" applyNumberFormat="1" applyFont="1" applyBorder="1"/>
    <xf numFmtId="2" fontId="4" fillId="0" borderId="39" xfId="1" applyNumberFormat="1" applyFont="1" applyBorder="1"/>
    <xf numFmtId="2" fontId="4" fillId="0" borderId="26" xfId="1" applyNumberFormat="1" applyFont="1" applyBorder="1"/>
    <xf numFmtId="2" fontId="4" fillId="0" borderId="25" xfId="1" applyNumberFormat="1" applyFont="1" applyBorder="1"/>
    <xf numFmtId="0" fontId="4" fillId="0" borderId="24" xfId="1" applyNumberFormat="1" applyFont="1" applyBorder="1"/>
    <xf numFmtId="0" fontId="5" fillId="0" borderId="36" xfId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 wrapText="1"/>
    </xf>
    <xf numFmtId="2" fontId="5" fillId="0" borderId="54" xfId="1" applyNumberFormat="1" applyFont="1" applyBorder="1" applyAlignment="1">
      <alignment horizontal="center" vertical="center" wrapText="1"/>
    </xf>
    <xf numFmtId="2" fontId="5" fillId="0" borderId="37" xfId="1" applyNumberFormat="1" applyFont="1" applyBorder="1" applyAlignment="1">
      <alignment horizontal="center" vertical="center" wrapText="1"/>
    </xf>
    <xf numFmtId="0" fontId="5" fillId="0" borderId="54" xfId="1" applyFont="1" applyBorder="1" applyAlignment="1">
      <alignment horizontal="center" vertical="center" wrapText="1"/>
    </xf>
    <xf numFmtId="0" fontId="5" fillId="0" borderId="37" xfId="1" applyFont="1" applyBorder="1" applyAlignment="1">
      <alignment horizontal="center" vertical="center" wrapText="1"/>
    </xf>
    <xf numFmtId="0" fontId="5" fillId="0" borderId="46" xfId="1" applyFont="1" applyBorder="1" applyAlignment="1">
      <alignment horizontal="center" vertical="center" wrapText="1"/>
    </xf>
    <xf numFmtId="2" fontId="5" fillId="0" borderId="47" xfId="1" applyNumberFormat="1" applyFont="1" applyBorder="1" applyAlignment="1">
      <alignment horizontal="center" vertical="center" wrapText="1"/>
    </xf>
    <xf numFmtId="2" fontId="5" fillId="0" borderId="60" xfId="1" applyNumberFormat="1" applyFont="1" applyBorder="1" applyAlignment="1">
      <alignment horizontal="center" vertical="center" wrapText="1"/>
    </xf>
    <xf numFmtId="0" fontId="5" fillId="0" borderId="47" xfId="1" applyFont="1" applyBorder="1" applyAlignment="1">
      <alignment horizontal="center" vertical="center" wrapText="1"/>
    </xf>
    <xf numFmtId="0" fontId="5" fillId="0" borderId="60" xfId="1" applyFont="1" applyBorder="1" applyAlignment="1">
      <alignment horizontal="center" vertical="center" wrapText="1"/>
    </xf>
    <xf numFmtId="2" fontId="5" fillId="0" borderId="31" xfId="1" applyNumberFormat="1" applyFont="1" applyBorder="1" applyAlignment="1">
      <alignment horizontal="center" vertical="center" wrapText="1"/>
    </xf>
    <xf numFmtId="2" fontId="5" fillId="0" borderId="68" xfId="1" applyNumberFormat="1" applyFont="1" applyBorder="1" applyAlignment="1">
      <alignment horizontal="center" vertical="center" wrapText="1"/>
    </xf>
    <xf numFmtId="0" fontId="5" fillId="0" borderId="68" xfId="1" applyFont="1" applyBorder="1" applyAlignment="1">
      <alignment horizontal="center" vertical="center" wrapText="1"/>
    </xf>
    <xf numFmtId="0" fontId="5" fillId="0" borderId="35" xfId="1" applyFont="1" applyBorder="1" applyAlignment="1">
      <alignment horizontal="center" vertical="center" wrapText="1"/>
    </xf>
    <xf numFmtId="0" fontId="5" fillId="0" borderId="36" xfId="1" applyFont="1" applyBorder="1" applyAlignment="1">
      <alignment horizontal="center" vertical="center" wrapText="1"/>
    </xf>
    <xf numFmtId="0" fontId="5" fillId="0" borderId="58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2" fontId="5" fillId="0" borderId="24" xfId="1" applyNumberFormat="1" applyFont="1" applyBorder="1" applyAlignment="1">
      <alignment horizontal="center" vertical="center" wrapText="1"/>
    </xf>
    <xf numFmtId="2" fontId="5" fillId="0" borderId="25" xfId="1" applyNumberFormat="1" applyFont="1" applyBorder="1" applyAlignment="1">
      <alignment horizontal="center" vertical="center" wrapText="1"/>
    </xf>
    <xf numFmtId="2" fontId="5" fillId="0" borderId="26" xfId="1" applyNumberFormat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2" fontId="5" fillId="0" borderId="67" xfId="1" applyNumberFormat="1" applyFont="1" applyBorder="1" applyAlignment="1">
      <alignment horizontal="center" vertical="center" wrapText="1"/>
    </xf>
    <xf numFmtId="2" fontId="5" fillId="0" borderId="46" xfId="1" applyNumberFormat="1" applyFont="1" applyBorder="1" applyAlignment="1">
      <alignment horizontal="center" vertical="center" wrapText="1"/>
    </xf>
    <xf numFmtId="2" fontId="5" fillId="0" borderId="4" xfId="1" applyNumberFormat="1" applyFont="1" applyBorder="1" applyAlignment="1">
      <alignment horizontal="center" vertical="center"/>
    </xf>
    <xf numFmtId="2" fontId="5" fillId="0" borderId="5" xfId="1" applyNumberFormat="1" applyFont="1" applyBorder="1" applyAlignment="1">
      <alignment vertical="center"/>
    </xf>
    <xf numFmtId="2" fontId="5" fillId="0" borderId="6" xfId="1" applyNumberFormat="1" applyFont="1" applyBorder="1" applyAlignment="1">
      <alignment vertical="center"/>
    </xf>
    <xf numFmtId="2" fontId="5" fillId="0" borderId="2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vertical="center"/>
    </xf>
    <xf numFmtId="2" fontId="5" fillId="0" borderId="3" xfId="1" applyNumberFormat="1" applyFont="1" applyBorder="1" applyAlignment="1">
      <alignment vertical="center"/>
    </xf>
    <xf numFmtId="2" fontId="5" fillId="0" borderId="57" xfId="1" applyNumberFormat="1" applyFont="1" applyBorder="1" applyAlignment="1">
      <alignment horizontal="center" vertical="center"/>
    </xf>
    <xf numFmtId="2" fontId="5" fillId="0" borderId="58" xfId="1" applyNumberFormat="1" applyFont="1" applyBorder="1" applyAlignment="1">
      <alignment vertical="center"/>
    </xf>
    <xf numFmtId="2" fontId="5" fillId="0" borderId="59" xfId="1" applyNumberFormat="1" applyFont="1" applyBorder="1" applyAlignment="1">
      <alignment vertical="center"/>
    </xf>
    <xf numFmtId="2" fontId="5" fillId="0" borderId="30" xfId="1" applyNumberFormat="1" applyFont="1" applyBorder="1" applyAlignment="1">
      <alignment horizontal="center" vertical="center"/>
    </xf>
    <xf numFmtId="2" fontId="5" fillId="0" borderId="31" xfId="1" applyNumberFormat="1" applyFont="1" applyBorder="1" applyAlignment="1">
      <alignment vertical="center"/>
    </xf>
    <xf numFmtId="2" fontId="5" fillId="0" borderId="32" xfId="1" applyNumberFormat="1" applyFont="1" applyBorder="1" applyAlignment="1">
      <alignment vertical="center"/>
    </xf>
    <xf numFmtId="2" fontId="4" fillId="0" borderId="54" xfId="1" applyNumberFormat="1" applyFont="1" applyBorder="1"/>
    <xf numFmtId="2" fontId="4" fillId="0" borderId="61" xfId="1" applyNumberFormat="1" applyFont="1" applyBorder="1"/>
    <xf numFmtId="0" fontId="5" fillId="0" borderId="25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67" xfId="1" applyFont="1" applyBorder="1" applyAlignment="1">
      <alignment horizontal="center" vertical="center"/>
    </xf>
    <xf numFmtId="0" fontId="5" fillId="0" borderId="47" xfId="1" applyFont="1" applyBorder="1" applyAlignment="1">
      <alignment horizontal="center" vertical="center"/>
    </xf>
    <xf numFmtId="0" fontId="5" fillId="0" borderId="60" xfId="1" applyFont="1" applyBorder="1" applyAlignment="1">
      <alignment horizontal="center" vertical="center"/>
    </xf>
    <xf numFmtId="2" fontId="4" fillId="0" borderId="4" xfId="1" applyNumberFormat="1" applyFont="1" applyBorder="1" applyAlignment="1">
      <alignment horizontal="center" vertical="center"/>
    </xf>
    <xf numFmtId="1" fontId="4" fillId="0" borderId="5" xfId="1" applyNumberFormat="1" applyFont="1" applyBorder="1" applyAlignment="1">
      <alignment horizontal="center" vertical="center"/>
    </xf>
    <xf numFmtId="2" fontId="4" fillId="0" borderId="5" xfId="1" applyNumberFormat="1" applyFont="1" applyBorder="1" applyAlignment="1">
      <alignment horizontal="center" vertical="center"/>
    </xf>
    <xf numFmtId="1" fontId="4" fillId="0" borderId="6" xfId="1" applyNumberFormat="1" applyFont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/>
    </xf>
    <xf numFmtId="2" fontId="4" fillId="0" borderId="30" xfId="1" applyNumberFormat="1" applyFont="1" applyBorder="1" applyAlignment="1">
      <alignment horizontal="center" vertical="center"/>
    </xf>
    <xf numFmtId="1" fontId="4" fillId="0" borderId="31" xfId="1" applyNumberFormat="1" applyFont="1" applyBorder="1" applyAlignment="1">
      <alignment horizontal="center" vertical="center"/>
    </xf>
    <xf numFmtId="2" fontId="4" fillId="0" borderId="31" xfId="1" applyNumberFormat="1" applyFont="1" applyBorder="1" applyAlignment="1">
      <alignment horizontal="center" vertical="center"/>
    </xf>
    <xf numFmtId="1" fontId="4" fillId="0" borderId="32" xfId="1" applyNumberFormat="1" applyFont="1" applyBorder="1" applyAlignment="1">
      <alignment horizontal="center" vertical="center"/>
    </xf>
    <xf numFmtId="2" fontId="4" fillId="0" borderId="35" xfId="1" applyNumberFormat="1" applyFont="1" applyBorder="1" applyAlignment="1">
      <alignment horizontal="center" vertical="center"/>
    </xf>
    <xf numFmtId="1" fontId="4" fillId="0" borderId="36" xfId="1" applyNumberFormat="1" applyFont="1" applyBorder="1" applyAlignment="1">
      <alignment horizontal="center" vertical="center"/>
    </xf>
    <xf numFmtId="2" fontId="4" fillId="0" borderId="36" xfId="1" applyNumberFormat="1" applyFont="1" applyBorder="1" applyAlignment="1">
      <alignment horizontal="center" vertical="center"/>
    </xf>
    <xf numFmtId="1" fontId="4" fillId="0" borderId="37" xfId="1" applyNumberFormat="1" applyFont="1" applyBorder="1" applyAlignment="1">
      <alignment horizontal="center" vertical="center"/>
    </xf>
    <xf numFmtId="2" fontId="5" fillId="0" borderId="35" xfId="1" applyNumberFormat="1" applyFont="1" applyBorder="1" applyAlignment="1">
      <alignment horizontal="center" vertical="center"/>
    </xf>
    <xf numFmtId="2" fontId="5" fillId="0" borderId="36" xfId="1" applyNumberFormat="1" applyFont="1" applyBorder="1" applyAlignment="1">
      <alignment horizontal="center" vertical="center"/>
    </xf>
    <xf numFmtId="2" fontId="5" fillId="0" borderId="37" xfId="1" applyNumberFormat="1" applyFont="1" applyBorder="1" applyAlignment="1">
      <alignment horizontal="center" vertical="center"/>
    </xf>
    <xf numFmtId="2" fontId="5" fillId="0" borderId="5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3" xfId="1" applyNumberFormat="1" applyFont="1" applyBorder="1" applyAlignment="1">
      <alignment horizontal="center" vertical="center"/>
    </xf>
    <xf numFmtId="2" fontId="5" fillId="0" borderId="31" xfId="1" applyNumberFormat="1" applyFont="1" applyBorder="1" applyAlignment="1">
      <alignment horizontal="center" vertical="center"/>
    </xf>
    <xf numFmtId="2" fontId="5" fillId="0" borderId="32" xfId="1" applyNumberFormat="1" applyFont="1" applyBorder="1" applyAlignment="1">
      <alignment horizontal="center" vertical="center"/>
    </xf>
    <xf numFmtId="0" fontId="3" fillId="0" borderId="0" xfId="0" applyFont="1"/>
    <xf numFmtId="0" fontId="8" fillId="0" borderId="35" xfId="0" applyFont="1" applyBorder="1"/>
    <xf numFmtId="49" fontId="8" fillId="0" borderId="36" xfId="0" applyNumberFormat="1" applyFont="1" applyBorder="1"/>
    <xf numFmtId="49" fontId="8" fillId="0" borderId="37" xfId="0" applyNumberFormat="1" applyFont="1" applyBorder="1"/>
    <xf numFmtId="0" fontId="8" fillId="2" borderId="35" xfId="0" applyFont="1" applyFill="1" applyBorder="1"/>
    <xf numFmtId="49" fontId="8" fillId="2" borderId="36" xfId="0" applyNumberFormat="1" applyFont="1" applyFill="1" applyBorder="1"/>
    <xf numFmtId="49" fontId="8" fillId="2" borderId="37" xfId="0" applyNumberFormat="1" applyFont="1" applyFill="1" applyBorder="1"/>
    <xf numFmtId="49" fontId="8" fillId="0" borderId="2" xfId="0" applyNumberFormat="1" applyFont="1" applyBorder="1" applyAlignment="1">
      <alignment horizontal="right"/>
    </xf>
    <xf numFmtId="49" fontId="8" fillId="0" borderId="1" xfId="0" applyNumberFormat="1" applyFont="1" applyBorder="1"/>
    <xf numFmtId="49" fontId="8" fillId="0" borderId="42" xfId="0" applyNumberFormat="1" applyFont="1" applyBorder="1"/>
    <xf numFmtId="0" fontId="8" fillId="0" borderId="0" xfId="0" applyFont="1"/>
    <xf numFmtId="0" fontId="8" fillId="0" borderId="2" xfId="0" applyNumberFormat="1" applyFont="1" applyBorder="1" applyAlignment="1">
      <alignment horizontal="right"/>
    </xf>
    <xf numFmtId="0" fontId="8" fillId="2" borderId="2" xfId="0" applyNumberFormat="1" applyFont="1" applyFill="1" applyBorder="1" applyAlignment="1">
      <alignment horizontal="right"/>
    </xf>
    <xf numFmtId="49" fontId="8" fillId="2" borderId="1" xfId="0" applyNumberFormat="1" applyFont="1" applyFill="1" applyBorder="1"/>
    <xf numFmtId="49" fontId="8" fillId="2" borderId="42" xfId="0" applyNumberFormat="1" applyFont="1" applyFill="1" applyBorder="1"/>
    <xf numFmtId="1" fontId="8" fillId="0" borderId="46" xfId="0" applyNumberFormat="1" applyFont="1" applyBorder="1" applyAlignment="1">
      <alignment horizontal="right"/>
    </xf>
    <xf numFmtId="49" fontId="8" fillId="0" borderId="47" xfId="0" applyNumberFormat="1" applyFont="1" applyBorder="1"/>
    <xf numFmtId="49" fontId="8" fillId="0" borderId="48" xfId="0" applyNumberFormat="1" applyFont="1" applyBorder="1"/>
    <xf numFmtId="1" fontId="8" fillId="0" borderId="2" xfId="0" applyNumberFormat="1" applyFont="1" applyBorder="1" applyAlignment="1">
      <alignment horizontal="right"/>
    </xf>
    <xf numFmtId="0" fontId="8" fillId="0" borderId="46" xfId="0" applyNumberFormat="1" applyFont="1" applyBorder="1" applyAlignment="1">
      <alignment horizontal="right"/>
    </xf>
    <xf numFmtId="0" fontId="8" fillId="2" borderId="46" xfId="0" applyNumberFormat="1" applyFont="1" applyFill="1" applyBorder="1" applyAlignment="1">
      <alignment horizontal="right"/>
    </xf>
    <xf numFmtId="49" fontId="8" fillId="2" borderId="47" xfId="0" applyNumberFormat="1" applyFont="1" applyFill="1" applyBorder="1"/>
    <xf numFmtId="49" fontId="8" fillId="2" borderId="48" xfId="0" applyNumberFormat="1" applyFont="1" applyFill="1" applyBorder="1"/>
    <xf numFmtId="49" fontId="8" fillId="0" borderId="54" xfId="0" applyNumberFormat="1" applyFont="1" applyBorder="1"/>
    <xf numFmtId="0" fontId="8" fillId="0" borderId="24" xfId="0" applyFont="1" applyBorder="1"/>
    <xf numFmtId="0" fontId="8" fillId="0" borderId="55" xfId="0" applyNumberFormat="1" applyFont="1" applyBorder="1"/>
    <xf numFmtId="0" fontId="8" fillId="0" borderId="35" xfId="0" applyNumberFormat="1" applyFont="1" applyBorder="1"/>
    <xf numFmtId="0" fontId="8" fillId="0" borderId="24" xfId="0" applyNumberFormat="1" applyFont="1" applyBorder="1"/>
    <xf numFmtId="0" fontId="8" fillId="2" borderId="24" xfId="0" applyNumberFormat="1" applyFont="1" applyFill="1" applyBorder="1"/>
    <xf numFmtId="49" fontId="8" fillId="2" borderId="54" xfId="0" applyNumberFormat="1" applyFont="1" applyFill="1" applyBorder="1"/>
    <xf numFmtId="0" fontId="0" fillId="0" borderId="61" xfId="0" applyBorder="1"/>
    <xf numFmtId="49" fontId="8" fillId="0" borderId="67" xfId="0" applyNumberFormat="1" applyFont="1" applyBorder="1"/>
    <xf numFmtId="49" fontId="8" fillId="2" borderId="67" xfId="0" applyNumberFormat="1" applyFont="1" applyFill="1" applyBorder="1"/>
    <xf numFmtId="49" fontId="8" fillId="0" borderId="43" xfId="0" applyNumberFormat="1" applyFont="1" applyBorder="1"/>
    <xf numFmtId="49" fontId="8" fillId="2" borderId="43" xfId="0" applyNumberFormat="1" applyFont="1" applyFill="1" applyBorder="1"/>
    <xf numFmtId="1" fontId="3" fillId="0" borderId="35" xfId="0" applyNumberFormat="1" applyFont="1" applyBorder="1"/>
    <xf numFmtId="164" fontId="3" fillId="0" borderId="36" xfId="0" applyNumberFormat="1" applyFont="1" applyBorder="1"/>
    <xf numFmtId="164" fontId="3" fillId="0" borderId="37" xfId="0" applyNumberFormat="1" applyFont="1" applyBorder="1"/>
    <xf numFmtId="164" fontId="3" fillId="0" borderId="55" xfId="0" applyNumberFormat="1" applyFont="1" applyBorder="1"/>
    <xf numFmtId="0" fontId="3" fillId="0" borderId="35" xfId="0" applyNumberFormat="1" applyFont="1" applyBorder="1"/>
    <xf numFmtId="0" fontId="3" fillId="0" borderId="36" xfId="0" applyNumberFormat="1" applyFont="1" applyBorder="1"/>
    <xf numFmtId="0" fontId="3" fillId="0" borderId="37" xfId="0" applyNumberFormat="1" applyFont="1" applyBorder="1"/>
    <xf numFmtId="0" fontId="3" fillId="0" borderId="55" xfId="0" applyNumberFormat="1" applyFont="1" applyBorder="1"/>
    <xf numFmtId="0" fontId="8" fillId="2" borderId="55" xfId="0" applyNumberFormat="1" applyFont="1" applyFill="1" applyBorder="1"/>
    <xf numFmtId="0" fontId="8" fillId="2" borderId="36" xfId="0" applyNumberFormat="1" applyFont="1" applyFill="1" applyBorder="1"/>
    <xf numFmtId="0" fontId="8" fillId="2" borderId="37" xfId="0" applyNumberFormat="1" applyFont="1" applyFill="1" applyBorder="1"/>
    <xf numFmtId="0" fontId="8" fillId="0" borderId="36" xfId="0" applyNumberFormat="1" applyFont="1" applyBorder="1"/>
    <xf numFmtId="0" fontId="8" fillId="0" borderId="37" xfId="0" applyNumberFormat="1" applyFont="1" applyBorder="1"/>
    <xf numFmtId="1" fontId="3" fillId="0" borderId="2" xfId="0" applyNumberFormat="1" applyFont="1" applyBorder="1"/>
    <xf numFmtId="164" fontId="3" fillId="0" borderId="1" xfId="0" applyNumberFormat="1" applyFont="1" applyBorder="1"/>
    <xf numFmtId="164" fontId="3" fillId="0" borderId="3" xfId="0" applyNumberFormat="1" applyFont="1" applyBorder="1"/>
    <xf numFmtId="164" fontId="3" fillId="0" borderId="15" xfId="0" applyNumberFormat="1" applyFont="1" applyBorder="1"/>
    <xf numFmtId="0" fontId="3" fillId="0" borderId="2" xfId="0" applyNumberFormat="1" applyFont="1" applyBorder="1"/>
    <xf numFmtId="0" fontId="3" fillId="0" borderId="1" xfId="0" applyNumberFormat="1" applyFont="1" applyBorder="1"/>
    <xf numFmtId="0" fontId="3" fillId="0" borderId="3" xfId="0" applyNumberFormat="1" applyFont="1" applyBorder="1"/>
    <xf numFmtId="0" fontId="3" fillId="0" borderId="15" xfId="0" applyNumberFormat="1" applyFont="1" applyBorder="1"/>
    <xf numFmtId="0" fontId="8" fillId="2" borderId="15" xfId="0" applyNumberFormat="1" applyFont="1" applyFill="1" applyBorder="1"/>
    <xf numFmtId="0" fontId="8" fillId="2" borderId="1" xfId="0" applyNumberFormat="1" applyFont="1" applyFill="1" applyBorder="1"/>
    <xf numFmtId="0" fontId="8" fillId="2" borderId="3" xfId="0" applyNumberFormat="1" applyFont="1" applyFill="1" applyBorder="1"/>
    <xf numFmtId="0" fontId="8" fillId="0" borderId="2" xfId="0" applyNumberFormat="1" applyFont="1" applyBorder="1"/>
    <xf numFmtId="0" fontId="8" fillId="0" borderId="1" xfId="0" applyNumberFormat="1" applyFont="1" applyBorder="1"/>
    <xf numFmtId="0" fontId="8" fillId="0" borderId="3" xfId="0" applyNumberFormat="1" applyFont="1" applyBorder="1"/>
    <xf numFmtId="0" fontId="8" fillId="0" borderId="15" xfId="0" applyNumberFormat="1" applyFont="1" applyBorder="1"/>
    <xf numFmtId="1" fontId="3" fillId="0" borderId="46" xfId="0" applyNumberFormat="1" applyFont="1" applyBorder="1"/>
    <xf numFmtId="164" fontId="3" fillId="0" borderId="47" xfId="0" applyNumberFormat="1" applyFont="1" applyBorder="1"/>
    <xf numFmtId="164" fontId="3" fillId="0" borderId="50" xfId="0" applyNumberFormat="1" applyFont="1" applyBorder="1"/>
    <xf numFmtId="164" fontId="3" fillId="0" borderId="48" xfId="0" applyNumberFormat="1" applyFont="1" applyBorder="1"/>
    <xf numFmtId="0" fontId="3" fillId="0" borderId="46" xfId="0" applyNumberFormat="1" applyFont="1" applyBorder="1"/>
    <xf numFmtId="0" fontId="3" fillId="0" borderId="47" xfId="0" applyNumberFormat="1" applyFont="1" applyBorder="1"/>
    <xf numFmtId="0" fontId="3" fillId="0" borderId="50" xfId="0" applyNumberFormat="1" applyFont="1" applyBorder="1"/>
    <xf numFmtId="0" fontId="3" fillId="0" borderId="48" xfId="0" applyNumberFormat="1" applyFont="1" applyBorder="1"/>
    <xf numFmtId="0" fontId="8" fillId="2" borderId="48" xfId="0" applyNumberFormat="1" applyFont="1" applyFill="1" applyBorder="1"/>
    <xf numFmtId="0" fontId="8" fillId="2" borderId="47" xfId="0" applyNumberFormat="1" applyFont="1" applyFill="1" applyBorder="1"/>
    <xf numFmtId="0" fontId="8" fillId="2" borderId="50" xfId="0" applyNumberFormat="1" applyFont="1" applyFill="1" applyBorder="1"/>
    <xf numFmtId="0" fontId="8" fillId="0" borderId="46" xfId="0" applyNumberFormat="1" applyFont="1" applyBorder="1"/>
    <xf numFmtId="0" fontId="8" fillId="0" borderId="47" xfId="0" applyNumberFormat="1" applyFont="1" applyBorder="1"/>
    <xf numFmtId="0" fontId="8" fillId="0" borderId="50" xfId="0" applyNumberFormat="1" applyFont="1" applyBorder="1"/>
    <xf numFmtId="0" fontId="8" fillId="0" borderId="48" xfId="0" applyNumberFormat="1" applyFont="1" applyBorder="1"/>
    <xf numFmtId="0" fontId="3" fillId="0" borderId="20" xfId="0" applyFont="1" applyBorder="1"/>
    <xf numFmtId="0" fontId="3" fillId="0" borderId="21" xfId="0" applyFont="1" applyBorder="1"/>
    <xf numFmtId="166" fontId="3" fillId="0" borderId="21" xfId="0" applyNumberFormat="1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166" fontId="3" fillId="0" borderId="22" xfId="0" applyNumberFormat="1" applyFont="1" applyBorder="1" applyAlignment="1">
      <alignment horizontal="left"/>
    </xf>
    <xf numFmtId="0" fontId="3" fillId="0" borderId="0" xfId="0" applyFont="1" applyBorder="1"/>
    <xf numFmtId="166" fontId="3" fillId="0" borderId="0" xfId="0" applyNumberFormat="1" applyFont="1" applyBorder="1" applyAlignment="1">
      <alignment horizontal="left"/>
    </xf>
    <xf numFmtId="166" fontId="3" fillId="0" borderId="39" xfId="0" applyNumberFormat="1" applyFont="1" applyBorder="1" applyAlignment="1">
      <alignment horizontal="left"/>
    </xf>
    <xf numFmtId="0" fontId="3" fillId="0" borderId="27" xfId="0" applyFont="1" applyBorder="1"/>
    <xf numFmtId="0" fontId="3" fillId="0" borderId="16" xfId="0" applyFont="1" applyBorder="1"/>
    <xf numFmtId="0" fontId="3" fillId="0" borderId="16" xfId="0" applyFont="1" applyBorder="1" applyAlignment="1"/>
    <xf numFmtId="166" fontId="3" fillId="0" borderId="16" xfId="0" applyNumberFormat="1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166" fontId="3" fillId="0" borderId="28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3" fillId="0" borderId="35" xfId="0" applyFont="1" applyBorder="1"/>
    <xf numFmtId="0" fontId="3" fillId="0" borderId="36" xfId="0" applyFont="1" applyBorder="1"/>
    <xf numFmtId="0" fontId="3" fillId="0" borderId="37" xfId="0" applyFont="1" applyBorder="1"/>
    <xf numFmtId="0" fontId="8" fillId="0" borderId="35" xfId="0" applyFont="1" applyBorder="1" applyAlignment="1">
      <alignment horizontal="center"/>
    </xf>
    <xf numFmtId="49" fontId="8" fillId="0" borderId="36" xfId="0" applyNumberFormat="1" applyFont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49" fontId="8" fillId="2" borderId="36" xfId="0" applyNumberFormat="1" applyFont="1" applyFill="1" applyBorder="1" applyAlignment="1">
      <alignment horizontal="center"/>
    </xf>
    <xf numFmtId="49" fontId="8" fillId="2" borderId="37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3" fillId="0" borderId="2" xfId="0" applyFont="1" applyBorder="1"/>
    <xf numFmtId="0" fontId="3" fillId="0" borderId="1" xfId="0" applyFont="1" applyBorder="1"/>
    <xf numFmtId="0" fontId="3" fillId="0" borderId="3" xfId="0" applyFont="1" applyBorder="1"/>
    <xf numFmtId="49" fontId="8" fillId="0" borderId="2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8" fillId="2" borderId="3" xfId="0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50" xfId="0" applyFont="1" applyBorder="1" applyAlignment="1">
      <alignment horizontal="left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1" fontId="8" fillId="0" borderId="1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1" fontId="8" fillId="0" borderId="76" xfId="0" applyNumberFormat="1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49" fontId="8" fillId="2" borderId="11" xfId="0" applyNumberFormat="1" applyFont="1" applyFill="1" applyBorder="1" applyAlignment="1">
      <alignment horizontal="center"/>
    </xf>
    <xf numFmtId="49" fontId="8" fillId="2" borderId="12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2" xfId="0" applyFont="1" applyBorder="1" applyAlignment="1">
      <alignment horizontal="left"/>
    </xf>
    <xf numFmtId="2" fontId="3" fillId="0" borderId="35" xfId="0" applyNumberFormat="1" applyFont="1" applyBorder="1"/>
    <xf numFmtId="1" fontId="3" fillId="0" borderId="36" xfId="0" applyNumberFormat="1" applyFont="1" applyBorder="1"/>
    <xf numFmtId="2" fontId="3" fillId="0" borderId="36" xfId="0" applyNumberFormat="1" applyFont="1" applyBorder="1"/>
    <xf numFmtId="1" fontId="3" fillId="0" borderId="37" xfId="0" applyNumberFormat="1" applyFont="1" applyBorder="1"/>
    <xf numFmtId="1" fontId="8" fillId="0" borderId="35" xfId="0" applyNumberFormat="1" applyFont="1" applyBorder="1" applyAlignment="1">
      <alignment horizontal="center"/>
    </xf>
    <xf numFmtId="1" fontId="8" fillId="0" borderId="55" xfId="0" applyNumberFormat="1" applyFont="1" applyBorder="1" applyAlignment="1">
      <alignment horizontal="center"/>
    </xf>
    <xf numFmtId="1" fontId="8" fillId="2" borderId="35" xfId="0" applyNumberFormat="1" applyFont="1" applyFill="1" applyBorder="1" applyAlignment="1">
      <alignment horizontal="center"/>
    </xf>
    <xf numFmtId="0" fontId="2" fillId="0" borderId="67" xfId="0" applyFont="1" applyBorder="1" applyAlignment="1">
      <alignment horizontal="left"/>
    </xf>
    <xf numFmtId="2" fontId="3" fillId="0" borderId="2" xfId="0" applyNumberFormat="1" applyFont="1" applyBorder="1"/>
    <xf numFmtId="1" fontId="3" fillId="0" borderId="1" xfId="0" applyNumberFormat="1" applyFont="1" applyBorder="1"/>
    <xf numFmtId="2" fontId="3" fillId="0" borderId="1" xfId="0" applyNumberFormat="1" applyFont="1" applyBorder="1"/>
    <xf numFmtId="1" fontId="3" fillId="0" borderId="3" xfId="0" applyNumberFormat="1" applyFont="1" applyBorder="1"/>
    <xf numFmtId="49" fontId="8" fillId="0" borderId="3" xfId="0" applyNumberFormat="1" applyFont="1" applyBorder="1"/>
    <xf numFmtId="49" fontId="8" fillId="2" borderId="2" xfId="0" applyNumberFormat="1" applyFont="1" applyFill="1" applyBorder="1" applyAlignment="1">
      <alignment horizontal="center"/>
    </xf>
    <xf numFmtId="49" fontId="8" fillId="2" borderId="3" xfId="0" applyNumberFormat="1" applyFont="1" applyFill="1" applyBorder="1"/>
    <xf numFmtId="49" fontId="8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43" xfId="0" applyFont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left"/>
    </xf>
    <xf numFmtId="2" fontId="3" fillId="2" borderId="2" xfId="0" applyNumberFormat="1" applyFont="1" applyFill="1" applyBorder="1"/>
    <xf numFmtId="1" fontId="3" fillId="2" borderId="1" xfId="0" applyNumberFormat="1" applyFont="1" applyFill="1" applyBorder="1"/>
    <xf numFmtId="2" fontId="3" fillId="2" borderId="1" xfId="0" applyNumberFormat="1" applyFont="1" applyFill="1" applyBorder="1"/>
    <xf numFmtId="1" fontId="3" fillId="2" borderId="3" xfId="0" applyNumberFormat="1" applyFont="1" applyFill="1" applyBorder="1"/>
    <xf numFmtId="1" fontId="8" fillId="2" borderId="2" xfId="0" applyNumberFormat="1" applyFont="1" applyFill="1" applyBorder="1" applyAlignment="1">
      <alignment horizontal="center"/>
    </xf>
    <xf numFmtId="1" fontId="8" fillId="2" borderId="15" xfId="0" applyNumberFormat="1" applyFont="1" applyFill="1" applyBorder="1" applyAlignment="1">
      <alignment horizontal="center"/>
    </xf>
    <xf numFmtId="49" fontId="8" fillId="2" borderId="15" xfId="0" applyNumberFormat="1" applyFont="1" applyFill="1" applyBorder="1" applyAlignment="1">
      <alignment horizontal="center"/>
    </xf>
    <xf numFmtId="0" fontId="2" fillId="0" borderId="67" xfId="0" applyFont="1" applyBorder="1" applyAlignment="1">
      <alignment horizontal="left" vertical="center"/>
    </xf>
    <xf numFmtId="0" fontId="2" fillId="0" borderId="60" xfId="0" applyFont="1" applyBorder="1" applyAlignment="1">
      <alignment horizontal="left"/>
    </xf>
    <xf numFmtId="2" fontId="3" fillId="0" borderId="46" xfId="0" applyNumberFormat="1" applyFont="1" applyBorder="1"/>
    <xf numFmtId="1" fontId="3" fillId="0" borderId="47" xfId="0" applyNumberFormat="1" applyFont="1" applyBorder="1"/>
    <xf numFmtId="2" fontId="3" fillId="0" borderId="47" xfId="0" applyNumberFormat="1" applyFont="1" applyBorder="1"/>
    <xf numFmtId="1" fontId="3" fillId="0" borderId="50" xfId="0" applyNumberFormat="1" applyFont="1" applyBorder="1"/>
    <xf numFmtId="1" fontId="8" fillId="0" borderId="46" xfId="0" applyNumberFormat="1" applyFont="1" applyBorder="1" applyAlignment="1">
      <alignment horizontal="center"/>
    </xf>
    <xf numFmtId="49" fontId="8" fillId="0" borderId="50" xfId="0" applyNumberFormat="1" applyFont="1" applyBorder="1"/>
    <xf numFmtId="1" fontId="8" fillId="0" borderId="48" xfId="0" applyNumberFormat="1" applyFont="1" applyBorder="1" applyAlignment="1">
      <alignment horizontal="center"/>
    </xf>
    <xf numFmtId="49" fontId="8" fillId="0" borderId="48" xfId="0" applyNumberFormat="1" applyFont="1" applyBorder="1" applyAlignment="1">
      <alignment horizontal="center"/>
    </xf>
    <xf numFmtId="49" fontId="8" fillId="0" borderId="46" xfId="0" applyNumberFormat="1" applyFont="1" applyBorder="1" applyAlignment="1">
      <alignment horizontal="center"/>
    </xf>
    <xf numFmtId="49" fontId="8" fillId="2" borderId="46" xfId="0" applyNumberFormat="1" applyFont="1" applyFill="1" applyBorder="1" applyAlignment="1">
      <alignment horizontal="center"/>
    </xf>
    <xf numFmtId="49" fontId="8" fillId="2" borderId="50" xfId="0" applyNumberFormat="1" applyFont="1" applyFill="1" applyBorder="1"/>
    <xf numFmtId="0" fontId="3" fillId="0" borderId="41" xfId="0" applyFont="1" applyBorder="1" applyAlignment="1"/>
    <xf numFmtId="0" fontId="3" fillId="0" borderId="74" xfId="0" applyFont="1" applyBorder="1" applyAlignment="1"/>
    <xf numFmtId="0" fontId="3" fillId="0" borderId="43" xfId="0" applyFont="1" applyBorder="1"/>
    <xf numFmtId="0" fontId="3" fillId="0" borderId="42" xfId="0" applyFont="1" applyBorder="1" applyAlignment="1">
      <alignment horizontal="left"/>
    </xf>
    <xf numFmtId="2" fontId="3" fillId="0" borderId="1" xfId="0" quotePrefix="1" applyNumberFormat="1" applyFont="1" applyBorder="1" applyAlignment="1">
      <alignment wrapText="1"/>
    </xf>
    <xf numFmtId="1" fontId="3" fillId="0" borderId="3" xfId="0" quotePrefix="1" applyNumberFormat="1" applyFont="1" applyBorder="1" applyAlignment="1">
      <alignment wrapText="1"/>
    </xf>
    <xf numFmtId="1" fontId="8" fillId="0" borderId="1" xfId="0" applyNumberFormat="1" applyFont="1" applyBorder="1"/>
    <xf numFmtId="49" fontId="8" fillId="0" borderId="0" xfId="0" applyNumberFormat="1" applyFont="1"/>
    <xf numFmtId="49" fontId="8" fillId="0" borderId="59" xfId="0" applyNumberFormat="1" applyFont="1" applyBorder="1"/>
    <xf numFmtId="166" fontId="8" fillId="0" borderId="1" xfId="0" applyNumberFormat="1" applyFont="1" applyBorder="1"/>
    <xf numFmtId="166" fontId="8" fillId="0" borderId="3" xfId="0" applyNumberFormat="1" applyFont="1" applyBorder="1"/>
    <xf numFmtId="49" fontId="8" fillId="2" borderId="0" xfId="0" applyNumberFormat="1" applyFont="1" applyFill="1"/>
    <xf numFmtId="49" fontId="8" fillId="2" borderId="59" xfId="0" applyNumberFormat="1" applyFont="1" applyFill="1" applyBorder="1"/>
    <xf numFmtId="49" fontId="3" fillId="0" borderId="41" xfId="0" applyNumberFormat="1" applyFont="1" applyBorder="1" applyAlignment="1">
      <alignment vertical="center"/>
    </xf>
    <xf numFmtId="49" fontId="3" fillId="0" borderId="40" xfId="0" applyNumberFormat="1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3" fillId="0" borderId="41" xfId="0" applyFont="1" applyBorder="1"/>
    <xf numFmtId="0" fontId="3" fillId="0" borderId="74" xfId="0" applyFont="1" applyBorder="1"/>
    <xf numFmtId="1" fontId="8" fillId="0" borderId="2" xfId="0" applyNumberFormat="1" applyFont="1" applyBorder="1"/>
    <xf numFmtId="1" fontId="8" fillId="0" borderId="0" xfId="0" applyNumberFormat="1" applyFont="1"/>
    <xf numFmtId="0" fontId="8" fillId="0" borderId="1" xfId="0" applyFont="1" applyBorder="1"/>
    <xf numFmtId="0" fontId="8" fillId="0" borderId="3" xfId="0" applyFont="1" applyBorder="1"/>
    <xf numFmtId="49" fontId="8" fillId="0" borderId="2" xfId="0" applyNumberFormat="1" applyFont="1" applyBorder="1"/>
    <xf numFmtId="49" fontId="8" fillId="2" borderId="2" xfId="0" applyNumberFormat="1" applyFont="1" applyFill="1" applyBorder="1"/>
    <xf numFmtId="0" fontId="3" fillId="0" borderId="51" xfId="0" applyFont="1" applyBorder="1"/>
    <xf numFmtId="0" fontId="3" fillId="0" borderId="40" xfId="0" applyFont="1" applyBorder="1"/>
    <xf numFmtId="0" fontId="3" fillId="0" borderId="14" xfId="0" applyFont="1" applyBorder="1"/>
    <xf numFmtId="0" fontId="3" fillId="0" borderId="53" xfId="0" applyFont="1" applyBorder="1"/>
    <xf numFmtId="1" fontId="8" fillId="0" borderId="14" xfId="0" applyNumberFormat="1" applyFont="1" applyBorder="1"/>
    <xf numFmtId="49" fontId="8" fillId="0" borderId="14" xfId="0" applyNumberFormat="1" applyFont="1" applyBorder="1"/>
    <xf numFmtId="49" fontId="8" fillId="0" borderId="53" xfId="0" applyNumberFormat="1" applyFont="1" applyBorder="1"/>
    <xf numFmtId="0" fontId="8" fillId="0" borderId="14" xfId="0" applyFont="1" applyBorder="1"/>
    <xf numFmtId="0" fontId="8" fillId="0" borderId="53" xfId="0" applyFont="1" applyBorder="1"/>
    <xf numFmtId="49" fontId="8" fillId="2" borderId="14" xfId="0" applyNumberFormat="1" applyFont="1" applyFill="1" applyBorder="1"/>
    <xf numFmtId="49" fontId="8" fillId="2" borderId="53" xfId="0" applyNumberFormat="1" applyFont="1" applyFill="1" applyBorder="1"/>
    <xf numFmtId="0" fontId="3" fillId="0" borderId="44" xfId="0" applyFont="1" applyBorder="1" applyAlignment="1"/>
    <xf numFmtId="0" fontId="3" fillId="0" borderId="75" xfId="0" applyFont="1" applyBorder="1" applyAlignment="1"/>
    <xf numFmtId="0" fontId="3" fillId="0" borderId="56" xfId="0" applyFont="1" applyBorder="1"/>
    <xf numFmtId="0" fontId="3" fillId="0" borderId="45" xfId="0" applyFont="1" applyBorder="1" applyAlignment="1">
      <alignment horizontal="left"/>
    </xf>
    <xf numFmtId="0" fontId="3" fillId="0" borderId="78" xfId="0" applyFont="1" applyBorder="1"/>
    <xf numFmtId="0" fontId="3" fillId="0" borderId="28" xfId="0" applyFont="1" applyBorder="1"/>
    <xf numFmtId="1" fontId="8" fillId="0" borderId="78" xfId="0" applyNumberFormat="1" applyFont="1" applyBorder="1"/>
    <xf numFmtId="49" fontId="8" fillId="0" borderId="78" xfId="0" applyNumberFormat="1" applyFont="1" applyBorder="1"/>
    <xf numFmtId="49" fontId="8" fillId="0" borderId="28" xfId="0" applyNumberFormat="1" applyFont="1" applyBorder="1"/>
    <xf numFmtId="0" fontId="8" fillId="0" borderId="78" xfId="0" applyFont="1" applyBorder="1"/>
    <xf numFmtId="0" fontId="8" fillId="0" borderId="28" xfId="0" applyFont="1" applyBorder="1"/>
    <xf numFmtId="49" fontId="8" fillId="2" borderId="78" xfId="0" applyNumberFormat="1" applyFont="1" applyFill="1" applyBorder="1"/>
    <xf numFmtId="49" fontId="8" fillId="2" borderId="28" xfId="0" applyNumberFormat="1" applyFont="1" applyFill="1" applyBorder="1"/>
    <xf numFmtId="49" fontId="8" fillId="0" borderId="55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49" fontId="8" fillId="2" borderId="35" xfId="0" applyNumberFormat="1" applyFont="1" applyFill="1" applyBorder="1" applyAlignment="1">
      <alignment horizontal="center"/>
    </xf>
    <xf numFmtId="0" fontId="3" fillId="0" borderId="46" xfId="0" applyFont="1" applyBorder="1"/>
    <xf numFmtId="0" fontId="3" fillId="0" borderId="47" xfId="0" applyFont="1" applyBorder="1"/>
    <xf numFmtId="0" fontId="3" fillId="0" borderId="50" xfId="0" applyFont="1" applyBorder="1"/>
    <xf numFmtId="49" fontId="8" fillId="0" borderId="47" xfId="0" applyNumberFormat="1" applyFont="1" applyBorder="1" applyAlignment="1">
      <alignment horizontal="center"/>
    </xf>
    <xf numFmtId="49" fontId="8" fillId="0" borderId="50" xfId="0" applyNumberFormat="1" applyFont="1" applyBorder="1" applyAlignment="1">
      <alignment horizontal="center"/>
    </xf>
    <xf numFmtId="49" fontId="8" fillId="2" borderId="47" xfId="0" applyNumberFormat="1" applyFont="1" applyFill="1" applyBorder="1" applyAlignment="1">
      <alignment horizontal="center"/>
    </xf>
    <xf numFmtId="49" fontId="8" fillId="2" borderId="50" xfId="0" applyNumberFormat="1" applyFont="1" applyFill="1" applyBorder="1" applyAlignment="1">
      <alignment horizontal="center"/>
    </xf>
    <xf numFmtId="0" fontId="2" fillId="0" borderId="69" xfId="0" applyFont="1" applyBorder="1" applyAlignment="1">
      <alignment horizontal="left"/>
    </xf>
    <xf numFmtId="2" fontId="3" fillId="0" borderId="4" xfId="0" applyNumberFormat="1" applyFont="1" applyBorder="1"/>
    <xf numFmtId="1" fontId="3" fillId="0" borderId="5" xfId="0" applyNumberFormat="1" applyFont="1" applyBorder="1"/>
    <xf numFmtId="2" fontId="3" fillId="0" borderId="5" xfId="0" applyNumberFormat="1" applyFont="1" applyBorder="1"/>
    <xf numFmtId="1" fontId="3" fillId="0" borderId="6" xfId="0" applyNumberFormat="1" applyFont="1" applyBorder="1"/>
    <xf numFmtId="1" fontId="8" fillId="0" borderId="4" xfId="0" applyNumberFormat="1" applyFont="1" applyBorder="1" applyAlignment="1">
      <alignment horizontal="center"/>
    </xf>
    <xf numFmtId="49" fontId="8" fillId="0" borderId="5" xfId="0" applyNumberFormat="1" applyFont="1" applyBorder="1"/>
    <xf numFmtId="49" fontId="8" fillId="0" borderId="6" xfId="0" applyNumberFormat="1" applyFont="1" applyBorder="1"/>
    <xf numFmtId="1" fontId="8" fillId="0" borderId="14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2" borderId="4" xfId="0" applyNumberFormat="1" applyFont="1" applyFill="1" applyBorder="1" applyAlignment="1">
      <alignment horizontal="center"/>
    </xf>
    <xf numFmtId="49" fontId="8" fillId="2" borderId="5" xfId="0" applyNumberFormat="1" applyFont="1" applyFill="1" applyBorder="1"/>
    <xf numFmtId="49" fontId="8" fillId="2" borderId="6" xfId="0" applyNumberFormat="1" applyFont="1" applyFill="1" applyBorder="1"/>
    <xf numFmtId="2" fontId="3" fillId="0" borderId="10" xfId="0" applyNumberFormat="1" applyFont="1" applyBorder="1"/>
    <xf numFmtId="1" fontId="3" fillId="0" borderId="11" xfId="0" applyNumberFormat="1" applyFont="1" applyBorder="1"/>
    <xf numFmtId="2" fontId="3" fillId="0" borderId="11" xfId="0" applyNumberFormat="1" applyFont="1" applyBorder="1"/>
    <xf numFmtId="1" fontId="3" fillId="0" borderId="12" xfId="0" applyNumberFormat="1" applyFont="1" applyBorder="1"/>
    <xf numFmtId="49" fontId="8" fillId="0" borderId="11" xfId="0" applyNumberFormat="1" applyFont="1" applyBorder="1"/>
    <xf numFmtId="49" fontId="8" fillId="0" borderId="12" xfId="0" applyNumberFormat="1" applyFont="1" applyBorder="1"/>
    <xf numFmtId="49" fontId="8" fillId="0" borderId="76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2" borderId="10" xfId="0" applyNumberFormat="1" applyFont="1" applyFill="1" applyBorder="1" applyAlignment="1">
      <alignment horizontal="center"/>
    </xf>
    <xf numFmtId="49" fontId="8" fillId="2" borderId="11" xfId="0" applyNumberFormat="1" applyFont="1" applyFill="1" applyBorder="1"/>
    <xf numFmtId="49" fontId="8" fillId="2" borderId="12" xfId="0" applyNumberFormat="1" applyFont="1" applyFill="1" applyBorder="1"/>
    <xf numFmtId="0" fontId="4" fillId="0" borderId="0" xfId="0" applyFont="1"/>
    <xf numFmtId="0" fontId="0" fillId="0" borderId="0" xfId="0" applyBorder="1"/>
    <xf numFmtId="0" fontId="4" fillId="0" borderId="0" xfId="3" applyFont="1" applyFill="1"/>
    <xf numFmtId="1" fontId="4" fillId="0" borderId="0" xfId="3" applyNumberFormat="1" applyFont="1" applyFill="1" applyBorder="1" applyAlignment="1">
      <alignment horizontal="right"/>
    </xf>
    <xf numFmtId="165" fontId="4" fillId="0" borderId="0" xfId="4" applyNumberFormat="1" applyFont="1" applyFill="1" applyBorder="1"/>
    <xf numFmtId="0" fontId="10" fillId="0" borderId="0" xfId="5" applyFont="1" applyFill="1" applyAlignment="1">
      <alignment horizontal="right"/>
    </xf>
    <xf numFmtId="0" fontId="11" fillId="0" borderId="0" xfId="5" applyFont="1" applyFill="1" applyAlignment="1">
      <alignment horizontal="right"/>
    </xf>
    <xf numFmtId="0" fontId="4" fillId="0" borderId="0" xfId="3" applyFont="1" applyFill="1" applyBorder="1"/>
    <xf numFmtId="0" fontId="4" fillId="0" borderId="0" xfId="5" applyFont="1" applyFill="1" applyBorder="1"/>
    <xf numFmtId="0" fontId="14" fillId="0" borderId="0" xfId="3" applyFont="1" applyFill="1" applyBorder="1"/>
    <xf numFmtId="0" fontId="5" fillId="0" borderId="0" xfId="3" applyFont="1" applyFill="1" applyBorder="1" applyAlignment="1"/>
    <xf numFmtId="0" fontId="4" fillId="0" borderId="0" xfId="3" applyFont="1" applyFill="1" applyBorder="1" applyAlignment="1">
      <alignment horizontal="left"/>
    </xf>
    <xf numFmtId="0" fontId="11" fillId="0" borderId="0" xfId="3" applyFont="1" applyFill="1" applyAlignment="1">
      <alignment horizontal="right"/>
    </xf>
    <xf numFmtId="0" fontId="15" fillId="0" borderId="0" xfId="3" applyFont="1" applyFill="1" applyBorder="1"/>
    <xf numFmtId="0" fontId="4" fillId="0" borderId="0" xfId="4" applyFont="1" applyFill="1" applyBorder="1"/>
    <xf numFmtId="0" fontId="4" fillId="0" borderId="0" xfId="4" applyFont="1" applyFill="1"/>
    <xf numFmtId="0" fontId="5" fillId="0" borderId="35" xfId="4" applyFont="1" applyFill="1" applyBorder="1" applyAlignment="1">
      <alignment horizontal="center"/>
    </xf>
    <xf numFmtId="0" fontId="5" fillId="0" borderId="36" xfId="4" applyFont="1" applyFill="1" applyBorder="1" applyAlignment="1">
      <alignment horizontal="center"/>
    </xf>
    <xf numFmtId="0" fontId="5" fillId="0" borderId="37" xfId="4" applyFont="1" applyFill="1" applyBorder="1" applyAlignment="1">
      <alignment horizontal="center"/>
    </xf>
    <xf numFmtId="0" fontId="4" fillId="0" borderId="46" xfId="4" applyFont="1" applyFill="1" applyBorder="1" applyAlignment="1">
      <alignment horizontal="center"/>
    </xf>
    <xf numFmtId="0" fontId="4" fillId="0" borderId="47" xfId="4" applyFont="1" applyFill="1" applyBorder="1" applyAlignment="1">
      <alignment horizontal="center"/>
    </xf>
    <xf numFmtId="0" fontId="4" fillId="0" borderId="50" xfId="4" applyFont="1" applyFill="1" applyBorder="1" applyAlignment="1">
      <alignment horizontal="center"/>
    </xf>
    <xf numFmtId="2" fontId="4" fillId="0" borderId="35" xfId="3" applyNumberFormat="1" applyFont="1" applyFill="1" applyBorder="1" applyAlignment="1">
      <alignment horizontal="center"/>
    </xf>
    <xf numFmtId="2" fontId="4" fillId="0" borderId="36" xfId="4" applyNumberFormat="1" applyFont="1" applyFill="1" applyBorder="1" applyAlignment="1">
      <alignment horizontal="center"/>
    </xf>
    <xf numFmtId="2" fontId="4" fillId="0" borderId="37" xfId="4" applyNumberFormat="1" applyFont="1" applyFill="1" applyBorder="1" applyAlignment="1">
      <alignment horizontal="center"/>
    </xf>
    <xf numFmtId="2" fontId="4" fillId="0" borderId="0" xfId="3" applyNumberFormat="1" applyFont="1" applyFill="1"/>
    <xf numFmtId="1" fontId="4" fillId="0" borderId="46" xfId="3" applyNumberFormat="1" applyFont="1" applyFill="1" applyBorder="1" applyAlignment="1">
      <alignment horizontal="center"/>
    </xf>
    <xf numFmtId="2" fontId="4" fillId="0" borderId="47" xfId="1" applyNumberFormat="1" applyFont="1" applyFill="1" applyBorder="1" applyAlignment="1" applyProtection="1">
      <alignment horizontal="center"/>
      <protection locked="0"/>
    </xf>
    <xf numFmtId="2" fontId="4" fillId="0" borderId="50" xfId="1" applyNumberFormat="1" applyFont="1" applyFill="1" applyBorder="1" applyAlignment="1">
      <alignment horizontal="center"/>
    </xf>
    <xf numFmtId="2" fontId="4" fillId="0" borderId="36" xfId="3" applyNumberFormat="1" applyFont="1" applyFill="1" applyBorder="1" applyAlignment="1">
      <alignment horizontal="center"/>
    </xf>
    <xf numFmtId="2" fontId="4" fillId="0" borderId="37" xfId="3" applyNumberFormat="1" applyFont="1" applyFill="1" applyBorder="1" applyAlignment="1">
      <alignment horizontal="center"/>
    </xf>
    <xf numFmtId="2" fontId="4" fillId="0" borderId="47" xfId="3" applyNumberFormat="1" applyFont="1" applyFill="1" applyBorder="1" applyAlignment="1">
      <alignment horizontal="center"/>
    </xf>
    <xf numFmtId="2" fontId="6" fillId="0" borderId="50" xfId="3" applyNumberFormat="1" applyFont="1" applyFill="1" applyBorder="1" applyAlignment="1">
      <alignment horizontal="center"/>
    </xf>
    <xf numFmtId="0" fontId="4" fillId="0" borderId="20" xfId="3" applyFont="1" applyFill="1" applyBorder="1" applyAlignment="1">
      <alignment horizontal="left"/>
    </xf>
    <xf numFmtId="2" fontId="4" fillId="0" borderId="21" xfId="3" applyNumberFormat="1" applyFont="1" applyFill="1" applyBorder="1" applyAlignment="1">
      <alignment horizontal="left"/>
    </xf>
    <xf numFmtId="2" fontId="4" fillId="0" borderId="22" xfId="3" applyNumberFormat="1" applyFont="1" applyFill="1" applyBorder="1" applyAlignment="1">
      <alignment horizontal="left"/>
    </xf>
    <xf numFmtId="0" fontId="4" fillId="0" borderId="39" xfId="3" applyFont="1" applyFill="1" applyBorder="1"/>
    <xf numFmtId="0" fontId="4" fillId="0" borderId="27" xfId="3" applyFont="1" applyFill="1" applyBorder="1" applyAlignment="1">
      <alignment horizontal="left"/>
    </xf>
    <xf numFmtId="2" fontId="4" fillId="0" borderId="16" xfId="3" applyNumberFormat="1" applyFont="1" applyFill="1" applyBorder="1" applyAlignment="1">
      <alignment horizontal="left"/>
    </xf>
    <xf numFmtId="2" fontId="4" fillId="0" borderId="28" xfId="3" applyNumberFormat="1" applyFont="1" applyFill="1" applyBorder="1" applyAlignment="1">
      <alignment horizontal="left"/>
    </xf>
    <xf numFmtId="0" fontId="4" fillId="0" borderId="16" xfId="3" applyFont="1" applyFill="1" applyBorder="1" applyAlignment="1">
      <alignment horizontal="left"/>
    </xf>
    <xf numFmtId="0" fontId="4" fillId="0" borderId="28" xfId="3" applyFont="1" applyFill="1" applyBorder="1"/>
    <xf numFmtId="0" fontId="4" fillId="0" borderId="16" xfId="3" applyFont="1" applyFill="1" applyBorder="1"/>
    <xf numFmtId="0" fontId="5" fillId="0" borderId="0" xfId="3" applyFont="1" applyFill="1" applyBorder="1"/>
    <xf numFmtId="0" fontId="5" fillId="0" borderId="0" xfId="3" applyFont="1" applyFill="1" applyBorder="1" applyAlignment="1">
      <alignment horizontal="center"/>
    </xf>
    <xf numFmtId="2" fontId="4" fillId="0" borderId="0" xfId="3" applyNumberFormat="1" applyFont="1" applyFill="1" applyBorder="1"/>
    <xf numFmtId="1" fontId="4" fillId="0" borderId="0" xfId="3" applyNumberFormat="1" applyFont="1" applyFill="1" applyBorder="1"/>
    <xf numFmtId="1" fontId="4" fillId="0" borderId="0" xfId="3" applyNumberFormat="1" applyFont="1" applyFill="1" applyBorder="1" applyProtection="1">
      <protection locked="0"/>
    </xf>
    <xf numFmtId="2" fontId="5" fillId="0" borderId="46" xfId="3" applyNumberFormat="1" applyFont="1" applyFill="1" applyBorder="1"/>
    <xf numFmtId="1" fontId="5" fillId="0" borderId="47" xfId="3" applyNumberFormat="1" applyFont="1" applyFill="1" applyBorder="1"/>
    <xf numFmtId="2" fontId="5" fillId="0" borderId="47" xfId="3" applyNumberFormat="1" applyFont="1" applyFill="1" applyBorder="1"/>
    <xf numFmtId="1" fontId="5" fillId="0" borderId="50" xfId="3" applyNumberFormat="1" applyFont="1" applyFill="1" applyBorder="1"/>
    <xf numFmtId="0" fontId="4" fillId="0" borderId="35" xfId="3" applyFont="1" applyFill="1" applyBorder="1" applyAlignment="1">
      <alignment horizontal="left"/>
    </xf>
    <xf numFmtId="49" fontId="4" fillId="0" borderId="54" xfId="8" applyNumberFormat="1" applyFont="1" applyFill="1" applyBorder="1" applyAlignment="1"/>
    <xf numFmtId="49" fontId="4" fillId="0" borderId="34" xfId="8" applyNumberFormat="1" applyFont="1" applyFill="1" applyBorder="1" applyAlignment="1"/>
    <xf numFmtId="165" fontId="4" fillId="0" borderId="4" xfId="3" applyNumberFormat="1" applyFont="1" applyFill="1" applyBorder="1"/>
    <xf numFmtId="1" fontId="4" fillId="0" borderId="5" xfId="3" applyNumberFormat="1" applyFont="1" applyFill="1" applyBorder="1"/>
    <xf numFmtId="165" fontId="4" fillId="0" borderId="5" xfId="3" applyNumberFormat="1" applyFont="1" applyFill="1" applyBorder="1"/>
    <xf numFmtId="165" fontId="4" fillId="0" borderId="69" xfId="3" applyNumberFormat="1" applyFont="1" applyFill="1" applyBorder="1"/>
    <xf numFmtId="1" fontId="4" fillId="0" borderId="35" xfId="3" applyNumberFormat="1" applyFont="1" applyFill="1" applyBorder="1" applyAlignment="1">
      <alignment horizontal="center" vertical="center"/>
    </xf>
    <xf numFmtId="2" fontId="4" fillId="0" borderId="36" xfId="3" applyNumberFormat="1" applyFont="1" applyFill="1" applyBorder="1" applyAlignment="1">
      <alignment horizontal="center" vertical="center"/>
    </xf>
    <xf numFmtId="2" fontId="4" fillId="0" borderId="37" xfId="3" applyNumberFormat="1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left"/>
    </xf>
    <xf numFmtId="0" fontId="4" fillId="0" borderId="67" xfId="8" applyFont="1" applyFill="1" applyBorder="1" applyAlignment="1"/>
    <xf numFmtId="0" fontId="4" fillId="0" borderId="42" xfId="8" applyFont="1" applyFill="1" applyBorder="1" applyAlignment="1"/>
    <xf numFmtId="165" fontId="4" fillId="0" borderId="2" xfId="3" applyNumberFormat="1" applyFont="1" applyFill="1" applyBorder="1"/>
    <xf numFmtId="1" fontId="4" fillId="0" borderId="1" xfId="3" applyNumberFormat="1" applyFont="1" applyFill="1" applyBorder="1"/>
    <xf numFmtId="165" fontId="4" fillId="0" borderId="1" xfId="3" applyNumberFormat="1" applyFont="1" applyFill="1" applyBorder="1"/>
    <xf numFmtId="165" fontId="4" fillId="0" borderId="67" xfId="3" applyNumberFormat="1" applyFont="1" applyFill="1" applyBorder="1"/>
    <xf numFmtId="43" fontId="4" fillId="0" borderId="2" xfId="2" applyFont="1" applyFill="1" applyBorder="1" applyAlignment="1">
      <alignment horizontal="center" vertical="center"/>
    </xf>
    <xf numFmtId="43" fontId="4" fillId="0" borderId="1" xfId="2" applyFont="1" applyFill="1" applyBorder="1" applyAlignment="1">
      <alignment horizontal="center" vertical="center"/>
    </xf>
    <xf numFmtId="43" fontId="4" fillId="0" borderId="3" xfId="2" applyFont="1" applyFill="1" applyBorder="1" applyAlignment="1">
      <alignment horizontal="center" vertical="center"/>
    </xf>
    <xf numFmtId="1" fontId="4" fillId="0" borderId="2" xfId="3" applyNumberFormat="1" applyFont="1" applyFill="1" applyBorder="1" applyAlignment="1">
      <alignment horizontal="center" vertical="center"/>
    </xf>
    <xf numFmtId="2" fontId="4" fillId="0" borderId="1" xfId="3" applyNumberFormat="1" applyFont="1" applyFill="1" applyBorder="1" applyAlignment="1">
      <alignment horizontal="center" vertical="center"/>
    </xf>
    <xf numFmtId="2" fontId="4" fillId="0" borderId="3" xfId="3" applyNumberFormat="1" applyFont="1" applyFill="1" applyBorder="1" applyAlignment="1">
      <alignment horizontal="center" vertical="center"/>
    </xf>
    <xf numFmtId="0" fontId="4" fillId="0" borderId="10" xfId="3" applyFont="1" applyFill="1" applyBorder="1" applyAlignment="1">
      <alignment horizontal="left"/>
    </xf>
    <xf numFmtId="165" fontId="4" fillId="0" borderId="10" xfId="3" applyNumberFormat="1" applyFont="1" applyFill="1" applyBorder="1"/>
    <xf numFmtId="1" fontId="4" fillId="0" borderId="11" xfId="3" applyNumberFormat="1" applyFont="1" applyFill="1" applyBorder="1"/>
    <xf numFmtId="165" fontId="4" fillId="0" borderId="11" xfId="3" applyNumberFormat="1" applyFont="1" applyFill="1" applyBorder="1"/>
    <xf numFmtId="165" fontId="4" fillId="0" borderId="70" xfId="3" applyNumberFormat="1" applyFont="1" applyFill="1" applyBorder="1"/>
    <xf numFmtId="1" fontId="4" fillId="0" borderId="10" xfId="3" applyNumberFormat="1" applyFont="1" applyFill="1" applyBorder="1" applyAlignment="1">
      <alignment horizontal="center" vertical="center"/>
    </xf>
    <xf numFmtId="2" fontId="4" fillId="0" borderId="11" xfId="3" applyNumberFormat="1" applyFont="1" applyFill="1" applyBorder="1" applyAlignment="1">
      <alignment horizontal="center" vertical="center"/>
    </xf>
    <xf numFmtId="0" fontId="4" fillId="0" borderId="46" xfId="3" applyFont="1" applyFill="1" applyBorder="1" applyAlignment="1">
      <alignment horizontal="left"/>
    </xf>
    <xf numFmtId="0" fontId="4" fillId="0" borderId="60" xfId="8" applyFont="1" applyFill="1" applyBorder="1" applyAlignment="1"/>
    <xf numFmtId="0" fontId="4" fillId="0" borderId="45" xfId="8" applyFont="1" applyFill="1" applyBorder="1" applyAlignment="1"/>
    <xf numFmtId="2" fontId="4" fillId="0" borderId="10" xfId="3" applyNumberFormat="1" applyFont="1" applyFill="1" applyBorder="1"/>
    <xf numFmtId="2" fontId="4" fillId="0" borderId="11" xfId="3" applyNumberFormat="1" applyFont="1" applyFill="1" applyBorder="1"/>
    <xf numFmtId="1" fontId="4" fillId="0" borderId="70" xfId="3" applyNumberFormat="1" applyFont="1" applyFill="1" applyBorder="1"/>
    <xf numFmtId="1" fontId="4" fillId="0" borderId="46" xfId="3" applyNumberFormat="1" applyFont="1" applyFill="1" applyBorder="1" applyAlignment="1">
      <alignment horizontal="center" vertical="center"/>
    </xf>
    <xf numFmtId="2" fontId="4" fillId="0" borderId="47" xfId="3" applyNumberFormat="1" applyFont="1" applyFill="1" applyBorder="1" applyAlignment="1">
      <alignment horizontal="center" vertical="center"/>
    </xf>
    <xf numFmtId="2" fontId="4" fillId="0" borderId="50" xfId="3" applyNumberFormat="1" applyFont="1" applyFill="1" applyBorder="1" applyAlignment="1">
      <alignment horizontal="center" vertical="center"/>
    </xf>
    <xf numFmtId="43" fontId="4" fillId="0" borderId="46" xfId="2" applyFont="1" applyFill="1" applyBorder="1" applyAlignment="1">
      <alignment horizontal="center" vertical="center"/>
    </xf>
    <xf numFmtId="43" fontId="4" fillId="0" borderId="47" xfId="2" applyFont="1" applyFill="1" applyBorder="1" applyAlignment="1">
      <alignment horizontal="center" vertical="center"/>
    </xf>
    <xf numFmtId="43" fontId="4" fillId="0" borderId="50" xfId="2" applyFont="1" applyFill="1" applyBorder="1" applyAlignment="1">
      <alignment horizontal="center" vertical="center"/>
    </xf>
    <xf numFmtId="1" fontId="4" fillId="0" borderId="30" xfId="3" applyNumberFormat="1" applyFont="1" applyFill="1" applyBorder="1" applyAlignment="1">
      <alignment horizontal="center" vertical="center"/>
    </xf>
    <xf numFmtId="2" fontId="4" fillId="0" borderId="31" xfId="3" applyNumberFormat="1" applyFont="1" applyFill="1" applyBorder="1" applyAlignment="1">
      <alignment horizontal="center" vertical="center"/>
    </xf>
    <xf numFmtId="2" fontId="4" fillId="0" borderId="32" xfId="3" applyNumberFormat="1" applyFont="1" applyFill="1" applyBorder="1" applyAlignment="1">
      <alignment horizontal="center" vertical="center"/>
    </xf>
    <xf numFmtId="0" fontId="4" fillId="0" borderId="0" xfId="9" applyFont="1" applyFill="1" applyBorder="1"/>
    <xf numFmtId="0" fontId="5" fillId="0" borderId="0" xfId="3" applyFont="1" applyFill="1" applyBorder="1" applyAlignment="1">
      <alignment horizontal="left"/>
    </xf>
    <xf numFmtId="0" fontId="5" fillId="0" borderId="0" xfId="3" applyFont="1" applyFill="1" applyBorder="1" applyAlignment="1">
      <alignment horizontal="centerContinuous"/>
    </xf>
    <xf numFmtId="2" fontId="4" fillId="0" borderId="0" xfId="3" applyNumberFormat="1" applyFont="1" applyFill="1" applyBorder="1" applyAlignment="1">
      <alignment horizontal="centerContinuous"/>
    </xf>
    <xf numFmtId="0" fontId="4" fillId="0" borderId="0" xfId="3" applyFont="1" applyFill="1" applyBorder="1" applyAlignment="1">
      <alignment horizontal="centerContinuous"/>
    </xf>
    <xf numFmtId="0" fontId="4" fillId="0" borderId="33" xfId="3" applyFont="1" applyFill="1" applyBorder="1"/>
    <xf numFmtId="0" fontId="4" fillId="0" borderId="49" xfId="3" applyFont="1" applyFill="1" applyBorder="1"/>
    <xf numFmtId="0" fontId="4" fillId="0" borderId="34" xfId="3" applyFont="1" applyFill="1" applyBorder="1"/>
    <xf numFmtId="164" fontId="4" fillId="0" borderId="79" xfId="3" applyNumberFormat="1" applyFont="1" applyFill="1" applyBorder="1" applyAlignment="1">
      <alignment horizontal="right"/>
    </xf>
    <xf numFmtId="49" fontId="4" fillId="0" borderId="80" xfId="3" applyNumberFormat="1" applyFont="1" applyFill="1" applyBorder="1" applyAlignment="1">
      <alignment horizontal="center"/>
    </xf>
    <xf numFmtId="164" fontId="4" fillId="0" borderId="81" xfId="3" applyNumberFormat="1" applyFont="1" applyFill="1" applyBorder="1" applyAlignment="1">
      <alignment horizontal="left"/>
    </xf>
    <xf numFmtId="0" fontId="4" fillId="0" borderId="41" xfId="3" applyFont="1" applyFill="1" applyBorder="1"/>
    <xf numFmtId="0" fontId="4" fillId="0" borderId="43" xfId="3" applyFont="1" applyFill="1" applyBorder="1"/>
    <xf numFmtId="0" fontId="4" fillId="0" borderId="42" xfId="3" applyFont="1" applyFill="1" applyBorder="1"/>
    <xf numFmtId="164" fontId="4" fillId="0" borderId="27" xfId="3" applyNumberFormat="1" applyFont="1" applyFill="1" applyBorder="1" applyAlignment="1">
      <alignment horizontal="right"/>
    </xf>
    <xf numFmtId="49" fontId="4" fillId="0" borderId="16" xfId="3" applyNumberFormat="1" applyFont="1" applyFill="1" applyBorder="1" applyAlignment="1">
      <alignment horizontal="center"/>
    </xf>
    <xf numFmtId="164" fontId="4" fillId="0" borderId="28" xfId="3" applyNumberFormat="1" applyFont="1" applyFill="1" applyBorder="1" applyAlignment="1">
      <alignment horizontal="left"/>
    </xf>
    <xf numFmtId="2" fontId="4" fillId="0" borderId="82" xfId="3" applyNumberFormat="1" applyFont="1" applyFill="1" applyBorder="1" applyAlignment="1">
      <alignment horizontal="right"/>
    </xf>
    <xf numFmtId="0" fontId="4" fillId="0" borderId="83" xfId="3" applyFont="1" applyFill="1" applyBorder="1" applyAlignment="1">
      <alignment horizontal="left"/>
    </xf>
    <xf numFmtId="0" fontId="4" fillId="0" borderId="83" xfId="3" applyFont="1" applyFill="1" applyBorder="1"/>
    <xf numFmtId="165" fontId="4" fillId="0" borderId="83" xfId="3" applyNumberFormat="1" applyFont="1" applyFill="1" applyBorder="1" applyAlignment="1">
      <alignment horizontal="left"/>
    </xf>
    <xf numFmtId="0" fontId="4" fillId="0" borderId="20" xfId="3" applyFont="1" applyFill="1" applyBorder="1"/>
    <xf numFmtId="0" fontId="4" fillId="0" borderId="21" xfId="3" applyFont="1" applyFill="1" applyBorder="1"/>
    <xf numFmtId="0" fontId="4" fillId="0" borderId="22" xfId="3" applyFont="1" applyFill="1" applyBorder="1" applyAlignment="1">
      <alignment horizontal="left"/>
    </xf>
    <xf numFmtId="2" fontId="4" fillId="0" borderId="16" xfId="3" applyNumberFormat="1" applyFont="1" applyFill="1" applyBorder="1" applyAlignment="1">
      <alignment horizontal="right"/>
    </xf>
    <xf numFmtId="0" fontId="4" fillId="0" borderId="28" xfId="3" applyFont="1" applyFill="1" applyBorder="1" applyAlignment="1">
      <alignment horizontal="left"/>
    </xf>
    <xf numFmtId="2" fontId="5" fillId="0" borderId="20" xfId="3" applyNumberFormat="1" applyFont="1" applyFill="1" applyBorder="1" applyAlignment="1">
      <alignment horizontal="right"/>
    </xf>
    <xf numFmtId="49" fontId="5" fillId="0" borderId="21" xfId="3" applyNumberFormat="1" applyFont="1" applyFill="1" applyBorder="1" applyAlignment="1">
      <alignment horizontal="center"/>
    </xf>
    <xf numFmtId="2" fontId="5" fillId="0" borderId="22" xfId="3" applyNumberFormat="1" applyFont="1" applyFill="1" applyBorder="1" applyAlignment="1">
      <alignment horizontal="left"/>
    </xf>
    <xf numFmtId="0" fontId="4" fillId="0" borderId="52" xfId="3" applyFont="1" applyFill="1" applyBorder="1"/>
    <xf numFmtId="0" fontId="4" fillId="0" borderId="83" xfId="2" applyNumberFormat="1" applyFont="1" applyFill="1" applyBorder="1" applyAlignment="1">
      <alignment horizontal="left"/>
    </xf>
    <xf numFmtId="0" fontId="4" fillId="0" borderId="83" xfId="3" applyNumberFormat="1" applyFont="1" applyFill="1" applyBorder="1" applyAlignment="1">
      <alignment horizontal="left"/>
    </xf>
    <xf numFmtId="164" fontId="4" fillId="0" borderId="22" xfId="3" applyNumberFormat="1" applyFont="1" applyFill="1" applyBorder="1" applyAlignment="1">
      <alignment horizontal="left"/>
    </xf>
    <xf numFmtId="0" fontId="4" fillId="0" borderId="38" xfId="3" applyFont="1" applyFill="1" applyBorder="1" applyAlignment="1">
      <alignment horizontal="left"/>
    </xf>
    <xf numFmtId="0" fontId="4" fillId="0" borderId="0" xfId="3" applyNumberFormat="1" applyFont="1" applyFill="1" applyBorder="1" applyAlignment="1">
      <alignment horizontal="left"/>
    </xf>
    <xf numFmtId="2" fontId="5" fillId="0" borderId="17" xfId="3" applyNumberFormat="1" applyFont="1" applyFill="1" applyBorder="1" applyAlignment="1">
      <alignment horizontal="right"/>
    </xf>
    <xf numFmtId="49" fontId="5" fillId="0" borderId="18" xfId="3" applyNumberFormat="1" applyFont="1" applyFill="1" applyBorder="1" applyAlignment="1">
      <alignment horizontal="center"/>
    </xf>
    <xf numFmtId="2" fontId="5" fillId="0" borderId="19" xfId="3" applyNumberFormat="1" applyFont="1" applyFill="1" applyBorder="1" applyAlignment="1">
      <alignment horizontal="left"/>
    </xf>
    <xf numFmtId="0" fontId="18" fillId="0" borderId="0" xfId="1" applyFont="1" applyFill="1"/>
    <xf numFmtId="2" fontId="18" fillId="0" borderId="0" xfId="1" applyNumberFormat="1" applyFont="1" applyFill="1"/>
    <xf numFmtId="0" fontId="4" fillId="0" borderId="20" xfId="3" applyFont="1" applyFill="1" applyBorder="1" applyAlignment="1">
      <alignment horizontal="right"/>
    </xf>
    <xf numFmtId="1" fontId="4" fillId="0" borderId="21" xfId="3" applyNumberFormat="1" applyFont="1" applyFill="1" applyBorder="1" applyAlignment="1"/>
    <xf numFmtId="0" fontId="5" fillId="0" borderId="27" xfId="3" applyFont="1" applyFill="1" applyBorder="1"/>
    <xf numFmtId="0" fontId="5" fillId="0" borderId="16" xfId="3" applyFont="1" applyFill="1" applyBorder="1"/>
    <xf numFmtId="0" fontId="5" fillId="0" borderId="16" xfId="3" applyFont="1" applyFill="1" applyBorder="1" applyAlignment="1">
      <alignment horizontal="center"/>
    </xf>
    <xf numFmtId="2" fontId="5" fillId="0" borderId="27" xfId="3" applyNumberFormat="1" applyFont="1" applyFill="1" applyBorder="1" applyAlignment="1">
      <alignment horizontal="right"/>
    </xf>
    <xf numFmtId="2" fontId="5" fillId="0" borderId="16" xfId="3" applyNumberFormat="1" applyFont="1" applyFill="1" applyBorder="1" applyAlignment="1">
      <alignment horizontal="center"/>
    </xf>
    <xf numFmtId="2" fontId="5" fillId="0" borderId="28" xfId="3" applyNumberFormat="1" applyFont="1" applyFill="1" applyBorder="1" applyAlignment="1">
      <alignment horizontal="left"/>
    </xf>
    <xf numFmtId="0" fontId="19" fillId="0" borderId="0" xfId="10" applyFont="1" applyFill="1" applyAlignment="1"/>
    <xf numFmtId="165" fontId="18" fillId="0" borderId="0" xfId="1" applyNumberFormat="1" applyFont="1" applyFill="1" applyAlignment="1">
      <alignment horizontal="center"/>
    </xf>
    <xf numFmtId="0" fontId="20" fillId="0" borderId="0" xfId="3" applyFont="1" applyFill="1"/>
    <xf numFmtId="0" fontId="20" fillId="0" borderId="0" xfId="1" applyFont="1" applyFill="1"/>
    <xf numFmtId="2" fontId="20" fillId="0" borderId="0" xfId="1" applyNumberFormat="1" applyFont="1" applyFill="1"/>
    <xf numFmtId="0" fontId="21" fillId="0" borderId="0" xfId="3" applyFont="1" applyFill="1"/>
    <xf numFmtId="0" fontId="20" fillId="0" borderId="0" xfId="3" applyFont="1" applyFill="1" applyBorder="1"/>
    <xf numFmtId="2" fontId="22" fillId="0" borderId="0" xfId="3" applyNumberFormat="1" applyFont="1" applyFill="1"/>
    <xf numFmtId="0" fontId="1" fillId="0" borderId="0" xfId="3" applyFill="1"/>
    <xf numFmtId="0" fontId="4" fillId="0" borderId="38" xfId="3" applyFont="1" applyFill="1" applyBorder="1"/>
    <xf numFmtId="0" fontId="4" fillId="0" borderId="27" xfId="3" applyFont="1" applyFill="1" applyBorder="1"/>
    <xf numFmtId="14" fontId="4" fillId="0" borderId="0" xfId="3" applyNumberFormat="1" applyFont="1" applyFill="1" applyBorder="1"/>
    <xf numFmtId="2" fontId="4" fillId="0" borderId="57" xfId="3" applyNumberFormat="1" applyFont="1" applyFill="1" applyBorder="1" applyAlignment="1">
      <alignment horizontal="center"/>
    </xf>
    <xf numFmtId="2" fontId="4" fillId="0" borderId="58" xfId="4" applyNumberFormat="1" applyFont="1" applyFill="1" applyBorder="1" applyAlignment="1">
      <alignment horizontal="center"/>
    </xf>
    <xf numFmtId="2" fontId="4" fillId="0" borderId="59" xfId="4" applyNumberFormat="1" applyFont="1" applyFill="1" applyBorder="1" applyAlignment="1">
      <alignment horizontal="center"/>
    </xf>
    <xf numFmtId="2" fontId="4" fillId="0" borderId="47" xfId="11" applyNumberFormat="1" applyFont="1" applyFill="1" applyBorder="1" applyAlignment="1" applyProtection="1">
      <alignment horizontal="center"/>
      <protection locked="0"/>
    </xf>
    <xf numFmtId="2" fontId="4" fillId="0" borderId="50" xfId="11" applyNumberFormat="1" applyFont="1" applyFill="1" applyBorder="1" applyAlignment="1">
      <alignment horizontal="center"/>
    </xf>
    <xf numFmtId="2" fontId="4" fillId="0" borderId="2" xfId="3" applyNumberFormat="1" applyFont="1" applyFill="1" applyBorder="1" applyAlignment="1">
      <alignment horizontal="center"/>
    </xf>
    <xf numFmtId="2" fontId="4" fillId="0" borderId="1" xfId="4" applyNumberFormat="1" applyFont="1" applyFill="1" applyBorder="1" applyAlignment="1">
      <alignment horizontal="center"/>
    </xf>
    <xf numFmtId="2" fontId="4" fillId="0" borderId="3" xfId="4" applyNumberFormat="1" applyFont="1" applyFill="1" applyBorder="1" applyAlignment="1">
      <alignment horizontal="center"/>
    </xf>
    <xf numFmtId="2" fontId="4" fillId="0" borderId="50" xfId="4" applyNumberFormat="1" applyFont="1" applyFill="1" applyBorder="1" applyAlignment="1">
      <alignment horizontal="center"/>
    </xf>
    <xf numFmtId="2" fontId="4" fillId="0" borderId="58" xfId="3" applyNumberFormat="1" applyFont="1" applyFill="1" applyBorder="1" applyAlignment="1">
      <alignment horizontal="center"/>
    </xf>
    <xf numFmtId="2" fontId="4" fillId="0" borderId="59" xfId="3" applyNumberFormat="1" applyFont="1" applyFill="1" applyBorder="1" applyAlignment="1">
      <alignment horizontal="center"/>
    </xf>
    <xf numFmtId="2" fontId="4" fillId="0" borderId="0" xfId="3" applyNumberFormat="1" applyFont="1" applyFill="1" applyBorder="1" applyAlignment="1">
      <alignment horizontal="left"/>
    </xf>
    <xf numFmtId="2" fontId="4" fillId="0" borderId="39" xfId="3" applyNumberFormat="1" applyFont="1" applyFill="1" applyBorder="1" applyAlignment="1">
      <alignment horizontal="left"/>
    </xf>
    <xf numFmtId="2" fontId="5" fillId="0" borderId="10" xfId="3" applyNumberFormat="1" applyFont="1" applyFill="1" applyBorder="1"/>
    <xf numFmtId="1" fontId="5" fillId="0" borderId="11" xfId="3" applyNumberFormat="1" applyFont="1" applyFill="1" applyBorder="1"/>
    <xf numFmtId="2" fontId="5" fillId="0" borderId="11" xfId="3" applyNumberFormat="1" applyFont="1" applyFill="1" applyBorder="1"/>
    <xf numFmtId="1" fontId="5" fillId="0" borderId="12" xfId="3" applyNumberFormat="1" applyFont="1" applyFill="1" applyBorder="1"/>
    <xf numFmtId="0" fontId="4" fillId="0" borderId="43" xfId="8" applyFont="1" applyFill="1" applyBorder="1" applyAlignment="1"/>
    <xf numFmtId="165" fontId="4" fillId="0" borderId="35" xfId="3" applyNumberFormat="1" applyFont="1" applyFill="1" applyBorder="1"/>
    <xf numFmtId="1" fontId="4" fillId="0" borderId="36" xfId="3" applyNumberFormat="1" applyFont="1" applyFill="1" applyBorder="1"/>
    <xf numFmtId="165" fontId="4" fillId="0" borderId="36" xfId="3" applyNumberFormat="1" applyFont="1" applyFill="1" applyBorder="1"/>
    <xf numFmtId="165" fontId="4" fillId="0" borderId="37" xfId="3" applyNumberFormat="1" applyFont="1" applyFill="1" applyBorder="1"/>
    <xf numFmtId="1" fontId="4" fillId="0" borderId="14" xfId="3" applyNumberFormat="1" applyFont="1" applyFill="1" applyBorder="1" applyAlignment="1">
      <alignment horizontal="center" vertical="center"/>
    </xf>
    <xf numFmtId="2" fontId="4" fillId="0" borderId="5" xfId="3" applyNumberFormat="1" applyFont="1" applyFill="1" applyBorder="1" applyAlignment="1">
      <alignment horizontal="center" vertical="center"/>
    </xf>
    <xf numFmtId="2" fontId="4" fillId="0" borderId="6" xfId="3" applyNumberFormat="1" applyFont="1" applyFill="1" applyBorder="1" applyAlignment="1">
      <alignment horizontal="center" vertical="center"/>
    </xf>
    <xf numFmtId="1" fontId="4" fillId="0" borderId="4" xfId="3" applyNumberFormat="1" applyFont="1" applyFill="1" applyBorder="1" applyAlignment="1">
      <alignment horizontal="center" vertical="center"/>
    </xf>
    <xf numFmtId="165" fontId="4" fillId="0" borderId="46" xfId="3" applyNumberFormat="1" applyFont="1" applyFill="1" applyBorder="1"/>
    <xf numFmtId="1" fontId="4" fillId="0" borderId="47" xfId="3" applyNumberFormat="1" applyFont="1" applyFill="1" applyBorder="1"/>
    <xf numFmtId="165" fontId="4" fillId="0" borderId="47" xfId="3" applyNumberFormat="1" applyFont="1" applyFill="1" applyBorder="1"/>
    <xf numFmtId="165" fontId="4" fillId="0" borderId="50" xfId="3" applyNumberFormat="1" applyFont="1" applyFill="1" applyBorder="1"/>
    <xf numFmtId="1" fontId="4" fillId="0" borderId="15" xfId="3" applyNumberFormat="1" applyFont="1" applyFill="1" applyBorder="1" applyAlignment="1">
      <alignment horizontal="center" vertical="center"/>
    </xf>
    <xf numFmtId="0" fontId="4" fillId="0" borderId="0" xfId="8" applyFont="1" applyFill="1" applyBorder="1" applyAlignment="1"/>
    <xf numFmtId="165" fontId="4" fillId="0" borderId="0" xfId="3" applyNumberFormat="1" applyFont="1" applyFill="1" applyBorder="1"/>
    <xf numFmtId="1" fontId="4" fillId="0" borderId="0" xfId="3" applyNumberFormat="1" applyFont="1" applyFill="1" applyBorder="1" applyAlignment="1">
      <alignment horizontal="center" vertical="center"/>
    </xf>
    <xf numFmtId="2" fontId="4" fillId="0" borderId="0" xfId="3" applyNumberFormat="1" applyFont="1" applyFill="1" applyBorder="1" applyAlignment="1">
      <alignment horizontal="center" vertical="center"/>
    </xf>
    <xf numFmtId="167" fontId="4" fillId="0" borderId="2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horizontal="center" vertical="center"/>
    </xf>
    <xf numFmtId="167" fontId="4" fillId="0" borderId="3" xfId="2" applyNumberFormat="1" applyFont="1" applyFill="1" applyBorder="1" applyAlignment="1">
      <alignment horizontal="center" vertical="center"/>
    </xf>
    <xf numFmtId="167" fontId="4" fillId="0" borderId="10" xfId="2" applyNumberFormat="1" applyFont="1" applyFill="1" applyBorder="1" applyAlignment="1">
      <alignment horizontal="center" vertical="center"/>
    </xf>
    <xf numFmtId="167" fontId="4" fillId="0" borderId="11" xfId="2" applyNumberFormat="1" applyFont="1" applyFill="1" applyBorder="1" applyAlignment="1">
      <alignment horizontal="center" vertical="center"/>
    </xf>
    <xf numFmtId="167" fontId="4" fillId="0" borderId="12" xfId="2" applyNumberFormat="1" applyFont="1" applyFill="1" applyBorder="1" applyAlignment="1">
      <alignment horizontal="center" vertical="center"/>
    </xf>
    <xf numFmtId="0" fontId="4" fillId="0" borderId="20" xfId="3" applyFont="1" applyFill="1" applyBorder="1" applyAlignment="1"/>
    <xf numFmtId="0" fontId="4" fillId="0" borderId="21" xfId="3" applyFont="1" applyFill="1" applyBorder="1" applyAlignment="1"/>
    <xf numFmtId="0" fontId="4" fillId="0" borderId="22" xfId="3" applyFont="1" applyFill="1" applyBorder="1" applyAlignment="1"/>
    <xf numFmtId="0" fontId="4" fillId="0" borderId="27" xfId="3" applyFont="1" applyFill="1" applyBorder="1" applyAlignment="1">
      <alignment horizontal="right"/>
    </xf>
    <xf numFmtId="0" fontId="18" fillId="0" borderId="0" xfId="11" applyFont="1" applyFill="1"/>
    <xf numFmtId="2" fontId="18" fillId="0" borderId="0" xfId="11" applyNumberFormat="1" applyFont="1" applyFill="1"/>
    <xf numFmtId="165" fontId="18" fillId="0" borderId="0" xfId="11" applyNumberFormat="1" applyFont="1" applyFill="1" applyAlignment="1">
      <alignment horizontal="center"/>
    </xf>
    <xf numFmtId="0" fontId="20" fillId="0" borderId="0" xfId="11" applyFont="1" applyFill="1"/>
    <xf numFmtId="2" fontId="20" fillId="0" borderId="0" xfId="11" applyNumberFormat="1" applyFont="1" applyFill="1"/>
    <xf numFmtId="0" fontId="19" fillId="0" borderId="0" xfId="10" applyFont="1" applyFill="1" applyAlignment="1">
      <alignment horizontal="center"/>
    </xf>
    <xf numFmtId="0" fontId="4" fillId="0" borderId="20" xfId="4" applyFont="1" applyFill="1" applyBorder="1" applyAlignment="1">
      <alignment horizontal="center"/>
    </xf>
    <xf numFmtId="0" fontId="4" fillId="0" borderId="21" xfId="4" applyFont="1" applyFill="1" applyBorder="1" applyAlignment="1">
      <alignment horizontal="center"/>
    </xf>
    <xf numFmtId="0" fontId="4" fillId="0" borderId="22" xfId="4" applyFont="1" applyFill="1" applyBorder="1" applyAlignment="1">
      <alignment horizontal="center"/>
    </xf>
    <xf numFmtId="0" fontId="4" fillId="0" borderId="27" xfId="4" applyFont="1" applyFill="1" applyBorder="1" applyAlignment="1">
      <alignment horizontal="center"/>
    </xf>
    <xf numFmtId="0" fontId="4" fillId="0" borderId="16" xfId="4" applyFont="1" applyFill="1" applyBorder="1" applyAlignment="1">
      <alignment horizontal="center"/>
    </xf>
    <xf numFmtId="0" fontId="4" fillId="0" borderId="28" xfId="4" applyFont="1" applyFill="1" applyBorder="1" applyAlignment="1">
      <alignment horizontal="center"/>
    </xf>
    <xf numFmtId="2" fontId="1" fillId="0" borderId="0" xfId="3" applyNumberFormat="1" applyFill="1"/>
    <xf numFmtId="0" fontId="0" fillId="0" borderId="0" xfId="0" applyFill="1"/>
    <xf numFmtId="2" fontId="4" fillId="0" borderId="55" xfId="3" applyNumberFormat="1" applyFont="1" applyFill="1" applyBorder="1" applyAlignment="1">
      <alignment horizontal="center"/>
    </xf>
    <xf numFmtId="0" fontId="19" fillId="0" borderId="38" xfId="10" applyFont="1" applyFill="1" applyBorder="1" applyAlignment="1"/>
    <xf numFmtId="43" fontId="4" fillId="0" borderId="12" xfId="2" applyFont="1" applyFill="1" applyBorder="1" applyAlignment="1">
      <alignment horizontal="center" vertical="center"/>
    </xf>
    <xf numFmtId="0" fontId="1" fillId="0" borderId="0" xfId="10" applyFill="1"/>
    <xf numFmtId="0" fontId="23" fillId="0" borderId="0" xfId="10" applyFont="1" applyFill="1"/>
    <xf numFmtId="0" fontId="24" fillId="0" borderId="0" xfId="10" applyFont="1" applyFill="1"/>
    <xf numFmtId="0" fontId="1" fillId="0" borderId="0" xfId="5" applyFont="1" applyFill="1"/>
    <xf numFmtId="0" fontId="25" fillId="0" borderId="0" xfId="10" applyFont="1" applyFill="1"/>
    <xf numFmtId="0" fontId="9" fillId="0" borderId="0" xfId="10" applyFont="1" applyFill="1"/>
    <xf numFmtId="0" fontId="1" fillId="0" borderId="0" xfId="10" applyFill="1" applyBorder="1"/>
    <xf numFmtId="0" fontId="23" fillId="0" borderId="0" xfId="10" applyFont="1" applyFill="1" applyBorder="1"/>
    <xf numFmtId="0" fontId="26" fillId="0" borderId="0" xfId="10" applyFont="1" applyFill="1" applyBorder="1"/>
    <xf numFmtId="0" fontId="27" fillId="0" borderId="0" xfId="10" applyFont="1" applyFill="1" applyBorder="1" applyAlignment="1"/>
    <xf numFmtId="0" fontId="28" fillId="0" borderId="0" xfId="10" applyFont="1" applyFill="1"/>
    <xf numFmtId="14" fontId="1" fillId="0" borderId="0" xfId="10" applyNumberFormat="1" applyFill="1" applyBorder="1"/>
    <xf numFmtId="0" fontId="29" fillId="0" borderId="20" xfId="4" applyFont="1" applyFill="1" applyBorder="1"/>
    <xf numFmtId="0" fontId="29" fillId="0" borderId="21" xfId="4" applyFont="1" applyFill="1" applyBorder="1"/>
    <xf numFmtId="0" fontId="30" fillId="0" borderId="21" xfId="4" applyFont="1" applyFill="1" applyBorder="1" applyAlignment="1">
      <alignment horizontal="centerContinuous"/>
    </xf>
    <xf numFmtId="0" fontId="29" fillId="0" borderId="21" xfId="4" applyFont="1" applyFill="1" applyBorder="1" applyAlignment="1">
      <alignment horizontal="centerContinuous"/>
    </xf>
    <xf numFmtId="0" fontId="1" fillId="0" borderId="22" xfId="4" applyFill="1" applyBorder="1" applyAlignment="1">
      <alignment horizontal="centerContinuous"/>
    </xf>
    <xf numFmtId="0" fontId="1" fillId="0" borderId="20" xfId="7" applyFill="1" applyBorder="1"/>
    <xf numFmtId="1" fontId="29" fillId="0" borderId="21" xfId="7" applyNumberFormat="1" applyFont="1" applyFill="1" applyBorder="1"/>
    <xf numFmtId="0" fontId="29" fillId="0" borderId="22" xfId="7" applyFont="1" applyFill="1" applyBorder="1"/>
    <xf numFmtId="0" fontId="29" fillId="0" borderId="84" xfId="7" applyFont="1" applyFill="1" applyBorder="1"/>
    <xf numFmtId="1" fontId="29" fillId="0" borderId="18" xfId="7" applyNumberFormat="1" applyFont="1" applyFill="1" applyBorder="1" applyProtection="1">
      <protection locked="0"/>
    </xf>
    <xf numFmtId="0" fontId="29" fillId="0" borderId="19" xfId="7" applyFont="1" applyFill="1" applyBorder="1" applyProtection="1">
      <protection locked="0"/>
    </xf>
    <xf numFmtId="0" fontId="29" fillId="0" borderId="17" xfId="7" applyFont="1" applyFill="1" applyBorder="1" applyProtection="1">
      <protection locked="0"/>
    </xf>
    <xf numFmtId="0" fontId="29" fillId="0" borderId="84" xfId="7" applyFont="1" applyFill="1" applyBorder="1" applyProtection="1">
      <protection locked="0"/>
    </xf>
    <xf numFmtId="0" fontId="29" fillId="0" borderId="19" xfId="7" applyFont="1" applyFill="1" applyBorder="1"/>
    <xf numFmtId="0" fontId="1" fillId="0" borderId="0" xfId="4" applyFill="1"/>
    <xf numFmtId="0" fontId="29" fillId="0" borderId="22" xfId="4" applyFont="1" applyFill="1" applyBorder="1"/>
    <xf numFmtId="0" fontId="9" fillId="0" borderId="21" xfId="4" applyFont="1" applyFill="1" applyBorder="1" applyAlignment="1">
      <alignment horizontal="centerContinuous"/>
    </xf>
    <xf numFmtId="0" fontId="1" fillId="0" borderId="21" xfId="4" applyFill="1" applyBorder="1" applyAlignment="1">
      <alignment horizontal="centerContinuous"/>
    </xf>
    <xf numFmtId="0" fontId="29" fillId="0" borderId="35" xfId="4" applyFont="1" applyFill="1" applyBorder="1" applyAlignment="1">
      <alignment horizontal="center"/>
    </xf>
    <xf numFmtId="0" fontId="29" fillId="0" borderId="36" xfId="4" applyFont="1" applyFill="1" applyBorder="1" applyAlignment="1">
      <alignment horizontal="center"/>
    </xf>
    <xf numFmtId="0" fontId="29" fillId="0" borderId="37" xfId="4" applyFont="1" applyFill="1" applyBorder="1" applyAlignment="1">
      <alignment horizontal="center"/>
    </xf>
    <xf numFmtId="0" fontId="29" fillId="0" borderId="24" xfId="4" applyFont="1" applyFill="1" applyBorder="1" applyAlignment="1">
      <alignment horizontal="center"/>
    </xf>
    <xf numFmtId="0" fontId="29" fillId="0" borderId="25" xfId="4" applyFont="1" applyFill="1" applyBorder="1" applyAlignment="1">
      <alignment horizontal="center"/>
    </xf>
    <xf numFmtId="0" fontId="29" fillId="0" borderId="26" xfId="4" applyFont="1" applyFill="1" applyBorder="1" applyAlignment="1">
      <alignment horizontal="center"/>
    </xf>
    <xf numFmtId="0" fontId="29" fillId="0" borderId="33" xfId="4" applyFont="1" applyFill="1" applyBorder="1" applyAlignment="1">
      <alignment horizontal="center"/>
    </xf>
    <xf numFmtId="0" fontId="29" fillId="0" borderId="38" xfId="4" applyFont="1" applyFill="1" applyBorder="1"/>
    <xf numFmtId="0" fontId="29" fillId="0" borderId="39" xfId="4" applyFont="1" applyFill="1" applyBorder="1"/>
    <xf numFmtId="0" fontId="30" fillId="0" borderId="28" xfId="4" applyFont="1" applyFill="1" applyBorder="1" applyAlignment="1">
      <alignment horizontal="center"/>
    </xf>
    <xf numFmtId="0" fontId="1" fillId="0" borderId="0" xfId="4" applyFill="1" applyBorder="1"/>
    <xf numFmtId="0" fontId="1" fillId="0" borderId="16" xfId="4" applyFill="1" applyBorder="1"/>
    <xf numFmtId="0" fontId="9" fillId="0" borderId="46" xfId="4" applyFont="1" applyFill="1" applyBorder="1" applyAlignment="1">
      <alignment horizontal="center"/>
    </xf>
    <xf numFmtId="0" fontId="9" fillId="0" borderId="47" xfId="4" applyFont="1" applyFill="1" applyBorder="1" applyAlignment="1">
      <alignment horizontal="center"/>
    </xf>
    <xf numFmtId="0" fontId="9" fillId="0" borderId="50" xfId="4" applyFont="1" applyFill="1" applyBorder="1" applyAlignment="1">
      <alignment horizontal="center"/>
    </xf>
    <xf numFmtId="0" fontId="9" fillId="0" borderId="30" xfId="4" applyFont="1" applyFill="1" applyBorder="1" applyAlignment="1">
      <alignment horizontal="center"/>
    </xf>
    <xf numFmtId="0" fontId="9" fillId="0" borderId="31" xfId="4" applyFont="1" applyFill="1" applyBorder="1" applyAlignment="1">
      <alignment horizontal="center"/>
    </xf>
    <xf numFmtId="0" fontId="9" fillId="0" borderId="32" xfId="4" applyFont="1" applyFill="1" applyBorder="1" applyAlignment="1">
      <alignment horizontal="center"/>
    </xf>
    <xf numFmtId="0" fontId="29" fillId="0" borderId="20" xfId="10" applyFont="1" applyFill="1" applyBorder="1"/>
    <xf numFmtId="0" fontId="29" fillId="0" borderId="22" xfId="10" applyFont="1" applyFill="1" applyBorder="1"/>
    <xf numFmtId="0" fontId="30" fillId="0" borderId="0" xfId="10" applyFont="1" applyFill="1" applyBorder="1" applyAlignment="1">
      <alignment horizontal="center"/>
    </xf>
    <xf numFmtId="0" fontId="1" fillId="0" borderId="20" xfId="10" applyFill="1" applyBorder="1"/>
    <xf numFmtId="0" fontId="1" fillId="0" borderId="21" xfId="10" applyFill="1" applyBorder="1"/>
    <xf numFmtId="0" fontId="1" fillId="0" borderId="22" xfId="10" applyFill="1" applyBorder="1"/>
    <xf numFmtId="1" fontId="28" fillId="0" borderId="85" xfId="10" applyNumberFormat="1" applyFont="1" applyFill="1" applyBorder="1" applyAlignment="1">
      <alignment horizontal="right"/>
    </xf>
    <xf numFmtId="2" fontId="28" fillId="0" borderId="86" xfId="10" applyNumberFormat="1" applyFont="1" applyFill="1" applyBorder="1"/>
    <xf numFmtId="2" fontId="28" fillId="0" borderId="87" xfId="10" applyNumberFormat="1" applyFont="1" applyFill="1" applyBorder="1"/>
    <xf numFmtId="2" fontId="28" fillId="0" borderId="88" xfId="10" applyNumberFormat="1" applyFont="1" applyFill="1" applyBorder="1"/>
    <xf numFmtId="0" fontId="1" fillId="0" borderId="38" xfId="10" applyFill="1" applyBorder="1" applyAlignment="1">
      <alignment textRotation="90"/>
    </xf>
    <xf numFmtId="0" fontId="1" fillId="0" borderId="39" xfId="10" applyFill="1" applyBorder="1"/>
    <xf numFmtId="0" fontId="1" fillId="0" borderId="38" xfId="10" applyFill="1" applyBorder="1"/>
    <xf numFmtId="0" fontId="1" fillId="0" borderId="41" xfId="10" applyFill="1" applyBorder="1" applyAlignment="1">
      <alignment horizontal="left"/>
    </xf>
    <xf numFmtId="0" fontId="1" fillId="0" borderId="42" xfId="10" applyFill="1" applyBorder="1"/>
    <xf numFmtId="1" fontId="28" fillId="0" borderId="89" xfId="10" applyNumberFormat="1" applyFont="1" applyFill="1" applyBorder="1" applyAlignment="1">
      <alignment horizontal="right"/>
    </xf>
    <xf numFmtId="2" fontId="28" fillId="0" borderId="90" xfId="10" applyNumberFormat="1" applyFont="1" applyFill="1" applyBorder="1"/>
    <xf numFmtId="0" fontId="1" fillId="0" borderId="38" xfId="10" applyFill="1" applyBorder="1" applyAlignment="1">
      <alignment horizontal="center" textRotation="90"/>
    </xf>
    <xf numFmtId="0" fontId="1" fillId="0" borderId="39" xfId="10" applyFill="1" applyBorder="1" applyAlignment="1">
      <alignment horizontal="center"/>
    </xf>
    <xf numFmtId="0" fontId="1" fillId="0" borderId="0" xfId="10" applyFill="1" applyBorder="1" applyAlignment="1">
      <alignment horizontal="center"/>
    </xf>
    <xf numFmtId="0" fontId="1" fillId="0" borderId="17" xfId="10" applyFill="1" applyBorder="1" applyAlignment="1">
      <alignment horizontal="center"/>
    </xf>
    <xf numFmtId="0" fontId="1" fillId="0" borderId="18" xfId="10" applyFill="1" applyBorder="1" applyAlignment="1">
      <alignment horizontal="center"/>
    </xf>
    <xf numFmtId="0" fontId="1" fillId="0" borderId="19" xfId="10" applyFill="1" applyBorder="1" applyAlignment="1">
      <alignment horizontal="center"/>
    </xf>
    <xf numFmtId="1" fontId="1" fillId="0" borderId="18" xfId="10" applyNumberFormat="1" applyFill="1" applyBorder="1" applyAlignment="1">
      <alignment horizontal="center"/>
    </xf>
    <xf numFmtId="49" fontId="28" fillId="0" borderId="18" xfId="10" applyNumberFormat="1" applyFont="1" applyFill="1" applyBorder="1" applyAlignment="1" applyProtection="1">
      <alignment horizontal="center"/>
      <protection locked="0"/>
    </xf>
    <xf numFmtId="0" fontId="28" fillId="0" borderId="19" xfId="10" applyNumberFormat="1" applyFont="1" applyFill="1" applyBorder="1" applyAlignment="1">
      <alignment horizontal="center"/>
    </xf>
    <xf numFmtId="1" fontId="1" fillId="0" borderId="17" xfId="10" applyNumberFormat="1" applyFill="1" applyBorder="1" applyAlignment="1">
      <alignment horizontal="center"/>
    </xf>
    <xf numFmtId="0" fontId="1" fillId="0" borderId="0" xfId="10" applyFill="1" applyAlignment="1">
      <alignment horizontal="center"/>
    </xf>
    <xf numFmtId="0" fontId="1" fillId="0" borderId="38" xfId="10" applyFont="1" applyFill="1" applyBorder="1" applyAlignment="1">
      <alignment textRotation="90"/>
    </xf>
    <xf numFmtId="165" fontId="1" fillId="0" borderId="0" xfId="10" applyNumberFormat="1" applyFont="1" applyFill="1" applyBorder="1"/>
    <xf numFmtId="0" fontId="1" fillId="0" borderId="40" xfId="10" applyFont="1" applyFill="1" applyBorder="1"/>
    <xf numFmtId="0" fontId="1" fillId="0" borderId="38" xfId="10" applyFont="1" applyFill="1" applyBorder="1"/>
    <xf numFmtId="0" fontId="1" fillId="0" borderId="0" xfId="10" applyFont="1" applyFill="1" applyBorder="1"/>
    <xf numFmtId="0" fontId="1" fillId="0" borderId="20" xfId="10" applyFont="1" applyFill="1" applyBorder="1"/>
    <xf numFmtId="0" fontId="1" fillId="0" borderId="34" xfId="10" applyFont="1" applyFill="1" applyBorder="1"/>
    <xf numFmtId="1" fontId="1" fillId="0" borderId="91" xfId="10" applyNumberFormat="1" applyFont="1" applyFill="1" applyBorder="1" applyAlignment="1">
      <alignment horizontal="right"/>
    </xf>
    <xf numFmtId="1" fontId="1" fillId="0" borderId="86" xfId="7" applyNumberFormat="1" applyFont="1" applyFill="1" applyBorder="1" applyAlignment="1" applyProtection="1">
      <alignment horizontal="right"/>
      <protection locked="0"/>
    </xf>
    <xf numFmtId="165" fontId="1" fillId="0" borderId="81" xfId="7" applyNumberFormat="1" applyFont="1" applyFill="1" applyBorder="1" applyAlignment="1">
      <alignment horizontal="right"/>
    </xf>
    <xf numFmtId="165" fontId="1" fillId="0" borderId="79" xfId="7" applyNumberFormat="1" applyFont="1" applyFill="1" applyBorder="1" applyAlignment="1">
      <alignment horizontal="right"/>
    </xf>
    <xf numFmtId="165" fontId="1" fillId="0" borderId="86" xfId="7" applyNumberFormat="1" applyFont="1" applyFill="1" applyBorder="1" applyAlignment="1" applyProtection="1">
      <alignment horizontal="right"/>
      <protection locked="0"/>
    </xf>
    <xf numFmtId="0" fontId="1" fillId="0" borderId="0" xfId="10" applyFont="1" applyFill="1"/>
    <xf numFmtId="0" fontId="1" fillId="0" borderId="39" xfId="10" applyFont="1" applyFill="1" applyBorder="1"/>
    <xf numFmtId="0" fontId="1" fillId="0" borderId="0" xfId="10" applyFont="1" applyFill="1" applyBorder="1" applyAlignment="1">
      <alignment horizontal="center"/>
    </xf>
    <xf numFmtId="0" fontId="1" fillId="0" borderId="41" xfId="10" applyFont="1" applyFill="1" applyBorder="1" applyAlignment="1">
      <alignment horizontal="left"/>
    </xf>
    <xf numFmtId="0" fontId="1" fillId="0" borderId="53" xfId="10" applyFont="1" applyFill="1" applyBorder="1"/>
    <xf numFmtId="165" fontId="1" fillId="0" borderId="92" xfId="7" applyNumberFormat="1" applyFont="1" applyFill="1" applyBorder="1" applyAlignment="1" applyProtection="1">
      <alignment horizontal="right"/>
      <protection locked="0"/>
    </xf>
    <xf numFmtId="165" fontId="1" fillId="0" borderId="88" xfId="7" applyNumberFormat="1" applyFont="1" applyFill="1" applyBorder="1" applyAlignment="1">
      <alignment horizontal="right"/>
    </xf>
    <xf numFmtId="1" fontId="1" fillId="0" borderId="91" xfId="7" applyNumberFormat="1" applyFont="1" applyFill="1" applyBorder="1" applyAlignment="1">
      <alignment horizontal="right"/>
    </xf>
    <xf numFmtId="2" fontId="1" fillId="0" borderId="92" xfId="7" applyNumberFormat="1" applyFont="1" applyFill="1" applyBorder="1" applyAlignment="1" applyProtection="1">
      <alignment horizontal="right"/>
      <protection locked="0"/>
    </xf>
    <xf numFmtId="2" fontId="1" fillId="0" borderId="88" xfId="7" applyNumberFormat="1" applyFont="1" applyFill="1" applyBorder="1" applyAlignment="1">
      <alignment horizontal="right"/>
    </xf>
    <xf numFmtId="2" fontId="1" fillId="0" borderId="91" xfId="7" applyNumberFormat="1" applyFont="1" applyFill="1" applyBorder="1" applyAlignment="1">
      <alignment horizontal="right"/>
    </xf>
    <xf numFmtId="0" fontId="1" fillId="0" borderId="29" xfId="10" applyFont="1" applyFill="1" applyBorder="1" applyAlignment="1">
      <alignment horizontal="center"/>
    </xf>
    <xf numFmtId="0" fontId="1" fillId="0" borderId="17" xfId="10" applyFont="1" applyFill="1" applyBorder="1"/>
    <xf numFmtId="0" fontId="1" fillId="0" borderId="18" xfId="10" applyFont="1" applyFill="1" applyBorder="1"/>
    <xf numFmtId="0" fontId="1" fillId="0" borderId="19" xfId="10" applyFont="1" applyFill="1" applyBorder="1"/>
    <xf numFmtId="1" fontId="1" fillId="0" borderId="18" xfId="10" applyNumberFormat="1" applyFont="1" applyFill="1" applyBorder="1" applyAlignment="1">
      <alignment horizontal="right"/>
    </xf>
    <xf numFmtId="0" fontId="1" fillId="0" borderId="18" xfId="10" applyNumberFormat="1" applyFont="1" applyFill="1" applyBorder="1" applyProtection="1">
      <protection locked="0"/>
    </xf>
    <xf numFmtId="0" fontId="1" fillId="0" borderId="19" xfId="10" applyNumberFormat="1" applyFont="1" applyFill="1" applyBorder="1"/>
    <xf numFmtId="1" fontId="1" fillId="0" borderId="17" xfId="10" applyNumberFormat="1" applyFont="1" applyFill="1" applyBorder="1" applyAlignment="1">
      <alignment horizontal="right"/>
    </xf>
    <xf numFmtId="0" fontId="31" fillId="0" borderId="20" xfId="10" applyFont="1" applyFill="1" applyBorder="1"/>
    <xf numFmtId="0" fontId="31" fillId="0" borderId="21" xfId="10" applyFont="1" applyFill="1" applyBorder="1"/>
    <xf numFmtId="0" fontId="1" fillId="0" borderId="23" xfId="10" applyFont="1" applyFill="1" applyBorder="1" applyAlignment="1">
      <alignment horizontal="center"/>
    </xf>
    <xf numFmtId="0" fontId="1" fillId="0" borderId="21" xfId="10" applyFont="1" applyFill="1" applyBorder="1"/>
    <xf numFmtId="0" fontId="1" fillId="0" borderId="22" xfId="10" applyFont="1" applyFill="1" applyBorder="1"/>
    <xf numFmtId="1" fontId="1" fillId="0" borderId="85" xfId="10" applyNumberFormat="1" applyFont="1" applyFill="1" applyBorder="1" applyAlignment="1">
      <alignment horizontal="right"/>
    </xf>
    <xf numFmtId="0" fontId="1" fillId="0" borderId="40" xfId="10" applyFont="1" applyFill="1" applyBorder="1" applyAlignment="1">
      <alignment horizontal="center"/>
    </xf>
    <xf numFmtId="0" fontId="1" fillId="0" borderId="42" xfId="10" applyFont="1" applyFill="1" applyBorder="1"/>
    <xf numFmtId="1" fontId="1" fillId="0" borderId="89" xfId="10" applyNumberFormat="1" applyFont="1" applyFill="1" applyBorder="1" applyAlignment="1">
      <alignment horizontal="right"/>
    </xf>
    <xf numFmtId="0" fontId="1" fillId="0" borderId="39" xfId="10" applyFont="1" applyFill="1" applyBorder="1" applyAlignment="1">
      <alignment horizontal="center"/>
    </xf>
    <xf numFmtId="1" fontId="1" fillId="0" borderId="81" xfId="7" applyNumberFormat="1" applyFont="1" applyFill="1" applyBorder="1" applyAlignment="1">
      <alignment horizontal="right"/>
    </xf>
    <xf numFmtId="1" fontId="1" fillId="0" borderId="79" xfId="7" applyNumberFormat="1" applyFont="1" applyFill="1" applyBorder="1" applyAlignment="1">
      <alignment horizontal="right"/>
    </xf>
    <xf numFmtId="0" fontId="1" fillId="0" borderId="0" xfId="10" applyFont="1" applyFill="1" applyAlignment="1">
      <alignment horizontal="right"/>
    </xf>
    <xf numFmtId="0" fontId="1" fillId="0" borderId="52" xfId="10" applyFont="1" applyFill="1" applyBorder="1"/>
    <xf numFmtId="0" fontId="1" fillId="0" borderId="29" xfId="10" applyFill="1" applyBorder="1"/>
    <xf numFmtId="0" fontId="1" fillId="0" borderId="17" xfId="10" applyFill="1" applyBorder="1"/>
    <xf numFmtId="0" fontId="1" fillId="0" borderId="18" xfId="10" applyFill="1" applyBorder="1"/>
    <xf numFmtId="0" fontId="1" fillId="0" borderId="19" xfId="10" applyFill="1" applyBorder="1"/>
    <xf numFmtId="1" fontId="1" fillId="0" borderId="18" xfId="10" applyNumberFormat="1" applyFill="1" applyBorder="1" applyAlignment="1">
      <alignment horizontal="right"/>
    </xf>
    <xf numFmtId="0" fontId="1" fillId="0" borderId="18" xfId="10" applyNumberFormat="1" applyFill="1" applyBorder="1" applyProtection="1">
      <protection locked="0"/>
    </xf>
    <xf numFmtId="0" fontId="1" fillId="0" borderId="19" xfId="10" applyNumberFormat="1" applyFill="1" applyBorder="1"/>
    <xf numFmtId="1" fontId="1" fillId="0" borderId="17" xfId="10" applyNumberFormat="1" applyFill="1" applyBorder="1" applyAlignment="1">
      <alignment horizontal="right"/>
    </xf>
    <xf numFmtId="0" fontId="1" fillId="0" borderId="33" xfId="10" applyFill="1" applyBorder="1"/>
    <xf numFmtId="0" fontId="1" fillId="0" borderId="34" xfId="10" applyFill="1" applyBorder="1"/>
    <xf numFmtId="1" fontId="1" fillId="0" borderId="79" xfId="10" applyNumberFormat="1" applyFill="1" applyBorder="1" applyAlignment="1">
      <alignment horizontal="right"/>
    </xf>
    <xf numFmtId="2" fontId="1" fillId="0" borderId="86" xfId="10" applyNumberFormat="1" applyFill="1" applyBorder="1"/>
    <xf numFmtId="2" fontId="1" fillId="0" borderId="81" xfId="10" applyNumberFormat="1" applyFill="1" applyBorder="1"/>
    <xf numFmtId="0" fontId="1" fillId="0" borderId="27" xfId="10" applyFill="1" applyBorder="1"/>
    <xf numFmtId="0" fontId="1" fillId="0" borderId="16" xfId="10" applyFill="1" applyBorder="1"/>
    <xf numFmtId="0" fontId="1" fillId="0" borderId="44" xfId="10" applyFill="1" applyBorder="1" applyAlignment="1">
      <alignment horizontal="left"/>
    </xf>
    <xf numFmtId="0" fontId="1" fillId="0" borderId="45" xfId="10" applyFill="1" applyBorder="1"/>
    <xf numFmtId="1" fontId="1" fillId="0" borderId="93" xfId="10" applyNumberFormat="1" applyFill="1" applyBorder="1" applyAlignment="1">
      <alignment horizontal="right"/>
    </xf>
    <xf numFmtId="2" fontId="1" fillId="0" borderId="92" xfId="10" applyNumberFormat="1" applyFill="1" applyBorder="1"/>
    <xf numFmtId="2" fontId="1" fillId="0" borderId="94" xfId="10" applyNumberFormat="1" applyFill="1" applyBorder="1"/>
    <xf numFmtId="0" fontId="9" fillId="0" borderId="20" xfId="10" applyFont="1" applyFill="1" applyBorder="1" applyAlignment="1">
      <alignment horizontal="left"/>
    </xf>
    <xf numFmtId="2" fontId="1" fillId="0" borderId="22" xfId="10" applyNumberFormat="1" applyFill="1" applyBorder="1" applyAlignment="1">
      <alignment horizontal="left"/>
    </xf>
    <xf numFmtId="0" fontId="9" fillId="0" borderId="38" xfId="10" applyFont="1" applyFill="1" applyBorder="1" applyAlignment="1">
      <alignment horizontal="left"/>
    </xf>
    <xf numFmtId="2" fontId="32" fillId="0" borderId="39" xfId="10" applyNumberFormat="1" applyFont="1" applyFill="1" applyBorder="1" applyAlignment="1">
      <alignment horizontal="left"/>
    </xf>
    <xf numFmtId="0" fontId="9" fillId="0" borderId="27" xfId="10" applyFont="1" applyFill="1" applyBorder="1" applyAlignment="1">
      <alignment horizontal="left"/>
    </xf>
    <xf numFmtId="0" fontId="1" fillId="0" borderId="28" xfId="10" applyFill="1" applyBorder="1"/>
    <xf numFmtId="0" fontId="30" fillId="0" borderId="21" xfId="10" applyFont="1" applyFill="1" applyBorder="1" applyAlignment="1">
      <alignment horizontal="center"/>
    </xf>
    <xf numFmtId="0" fontId="30" fillId="0" borderId="22" xfId="10" applyFont="1" applyFill="1" applyBorder="1" applyAlignment="1">
      <alignment horizontal="center"/>
    </xf>
    <xf numFmtId="0" fontId="30" fillId="0" borderId="49" xfId="10" applyFont="1" applyBorder="1"/>
    <xf numFmtId="0" fontId="30" fillId="0" borderId="55" xfId="10" applyFont="1" applyBorder="1"/>
    <xf numFmtId="0" fontId="30" fillId="0" borderId="34" xfId="10" applyFont="1" applyBorder="1"/>
    <xf numFmtId="1" fontId="1" fillId="0" borderId="0" xfId="10" applyNumberFormat="1" applyFill="1" applyBorder="1" applyProtection="1">
      <protection locked="0"/>
    </xf>
    <xf numFmtId="2" fontId="1" fillId="0" borderId="0" xfId="10" applyNumberFormat="1" applyFill="1" applyBorder="1"/>
    <xf numFmtId="2" fontId="1" fillId="0" borderId="39" xfId="10" applyNumberFormat="1" applyFill="1" applyBorder="1"/>
    <xf numFmtId="1" fontId="1" fillId="0" borderId="38" xfId="10" applyNumberFormat="1" applyFill="1" applyBorder="1" applyProtection="1">
      <protection locked="0"/>
    </xf>
    <xf numFmtId="0" fontId="29" fillId="0" borderId="16" xfId="10" applyFont="1" applyFill="1" applyBorder="1"/>
    <xf numFmtId="0" fontId="9" fillId="0" borderId="28" xfId="10" applyFont="1" applyFill="1" applyBorder="1" applyAlignment="1">
      <alignment horizontal="center"/>
    </xf>
    <xf numFmtId="0" fontId="9" fillId="0" borderId="48" xfId="10" applyFont="1" applyBorder="1"/>
    <xf numFmtId="0" fontId="9" fillId="0" borderId="47" xfId="10" applyFont="1" applyBorder="1"/>
    <xf numFmtId="0" fontId="9" fillId="0" borderId="50" xfId="10" applyFont="1" applyBorder="1"/>
    <xf numFmtId="0" fontId="1" fillId="0" borderId="4" xfId="10" applyFill="1" applyBorder="1" applyAlignment="1">
      <alignment horizontal="left"/>
    </xf>
    <xf numFmtId="49" fontId="1" fillId="0" borderId="52" xfId="10" applyNumberFormat="1" applyBorder="1" applyAlignment="1">
      <alignment horizontal="left"/>
    </xf>
    <xf numFmtId="0" fontId="29" fillId="0" borderId="53" xfId="10" applyFont="1" applyFill="1" applyBorder="1"/>
    <xf numFmtId="2" fontId="33" fillId="0" borderId="14" xfId="10" applyNumberFormat="1" applyFont="1" applyFill="1" applyBorder="1"/>
    <xf numFmtId="1" fontId="33" fillId="0" borderId="5" xfId="10" applyNumberFormat="1" applyFont="1" applyFill="1" applyBorder="1"/>
    <xf numFmtId="2" fontId="33" fillId="0" borderId="5" xfId="10" applyNumberFormat="1" applyFont="1" applyFill="1" applyBorder="1"/>
    <xf numFmtId="165" fontId="33" fillId="0" borderId="6" xfId="10" applyNumberFormat="1" applyFont="1" applyFill="1" applyBorder="1"/>
    <xf numFmtId="1" fontId="1" fillId="0" borderId="1" xfId="10" applyNumberFormat="1" applyFill="1" applyBorder="1" applyProtection="1">
      <protection locked="0"/>
    </xf>
    <xf numFmtId="2" fontId="1" fillId="0" borderId="1" xfId="10" applyNumberFormat="1" applyFill="1" applyBorder="1"/>
    <xf numFmtId="2" fontId="1" fillId="0" borderId="3" xfId="10" applyNumberFormat="1" applyFill="1" applyBorder="1"/>
    <xf numFmtId="1" fontId="1" fillId="0" borderId="2" xfId="10" applyNumberFormat="1" applyFill="1" applyBorder="1" applyProtection="1">
      <protection locked="0"/>
    </xf>
    <xf numFmtId="0" fontId="1" fillId="0" borderId="2" xfId="10" applyFill="1" applyBorder="1" applyAlignment="1">
      <alignment horizontal="left"/>
    </xf>
    <xf numFmtId="49" fontId="1" fillId="0" borderId="43" xfId="10" applyNumberFormat="1" applyBorder="1" applyAlignment="1">
      <alignment horizontal="left"/>
    </xf>
    <xf numFmtId="0" fontId="29" fillId="0" borderId="42" xfId="10" applyFont="1" applyFill="1" applyBorder="1"/>
    <xf numFmtId="2" fontId="33" fillId="0" borderId="15" xfId="10" applyNumberFormat="1" applyFont="1" applyFill="1" applyBorder="1"/>
    <xf numFmtId="1" fontId="33" fillId="0" borderId="1" xfId="10" applyNumberFormat="1" applyFont="1" applyFill="1" applyBorder="1"/>
    <xf numFmtId="2" fontId="33" fillId="0" borderId="1" xfId="10" applyNumberFormat="1" applyFont="1" applyFill="1" applyBorder="1"/>
    <xf numFmtId="165" fontId="33" fillId="0" borderId="3" xfId="10" applyNumberFormat="1" applyFont="1" applyFill="1" applyBorder="1"/>
    <xf numFmtId="1" fontId="1" fillId="0" borderId="5" xfId="10" applyNumberFormat="1" applyFill="1" applyBorder="1" applyProtection="1">
      <protection locked="0"/>
    </xf>
    <xf numFmtId="2" fontId="1" fillId="0" borderId="5" xfId="10" applyNumberFormat="1" applyFill="1" applyBorder="1"/>
    <xf numFmtId="2" fontId="1" fillId="0" borderId="6" xfId="10" applyNumberFormat="1" applyFill="1" applyBorder="1"/>
    <xf numFmtId="1" fontId="1" fillId="0" borderId="4" xfId="10" applyNumberFormat="1" applyFill="1" applyBorder="1" applyProtection="1">
      <protection locked="0"/>
    </xf>
    <xf numFmtId="0" fontId="1" fillId="0" borderId="43" xfId="10" applyBorder="1"/>
    <xf numFmtId="2" fontId="1" fillId="0" borderId="2" xfId="10" applyNumberFormat="1" applyFill="1" applyBorder="1"/>
    <xf numFmtId="1" fontId="1" fillId="0" borderId="1" xfId="10" applyNumberFormat="1" applyFill="1" applyBorder="1"/>
    <xf numFmtId="1" fontId="1" fillId="0" borderId="3" xfId="10" applyNumberFormat="1" applyFill="1" applyBorder="1"/>
    <xf numFmtId="0" fontId="1" fillId="0" borderId="67" xfId="10" applyBorder="1"/>
    <xf numFmtId="1" fontId="1" fillId="0" borderId="14" xfId="10" applyNumberFormat="1" applyFill="1" applyBorder="1" applyProtection="1">
      <protection locked="0"/>
    </xf>
    <xf numFmtId="0" fontId="1" fillId="0" borderId="52" xfId="10" applyBorder="1"/>
    <xf numFmtId="0" fontId="29" fillId="0" borderId="39" xfId="10" applyFont="1" applyFill="1" applyBorder="1"/>
    <xf numFmtId="0" fontId="1" fillId="0" borderId="51" xfId="10" applyFill="1" applyBorder="1" applyAlignment="1">
      <alignment horizontal="left"/>
    </xf>
    <xf numFmtId="0" fontId="1" fillId="0" borderId="67" xfId="10" applyFont="1" applyBorder="1"/>
    <xf numFmtId="2" fontId="1" fillId="0" borderId="4" xfId="10" applyNumberFormat="1" applyFill="1" applyBorder="1"/>
    <xf numFmtId="1" fontId="1" fillId="0" borderId="5" xfId="10" applyNumberFormat="1" applyFill="1" applyBorder="1"/>
    <xf numFmtId="1" fontId="1" fillId="0" borderId="6" xfId="10" applyNumberFormat="1" applyFill="1" applyBorder="1"/>
    <xf numFmtId="2" fontId="1" fillId="0" borderId="5" xfId="10" applyNumberFormat="1" applyFill="1" applyBorder="1" applyAlignment="1">
      <alignment horizontal="right"/>
    </xf>
    <xf numFmtId="2" fontId="1" fillId="0" borderId="6" xfId="10" applyNumberFormat="1" applyFill="1" applyBorder="1" applyAlignment="1">
      <alignment horizontal="right"/>
    </xf>
    <xf numFmtId="0" fontId="1" fillId="0" borderId="33" xfId="9" applyFont="1" applyFill="1" applyBorder="1" applyAlignment="1"/>
    <xf numFmtId="0" fontId="1" fillId="0" borderId="49" xfId="10" applyFill="1" applyBorder="1"/>
    <xf numFmtId="0" fontId="29" fillId="0" borderId="34" xfId="10" applyFont="1" applyFill="1" applyBorder="1"/>
    <xf numFmtId="2" fontId="1" fillId="0" borderId="49" xfId="10" applyNumberFormat="1" applyFill="1" applyBorder="1"/>
    <xf numFmtId="1" fontId="1" fillId="0" borderId="49" xfId="10" applyNumberFormat="1" applyFill="1" applyBorder="1"/>
    <xf numFmtId="1" fontId="1" fillId="0" borderId="34" xfId="10" applyNumberFormat="1" applyFill="1" applyBorder="1"/>
    <xf numFmtId="1" fontId="1" fillId="0" borderId="55" xfId="10" applyNumberFormat="1" applyFill="1" applyBorder="1" applyProtection="1">
      <protection locked="0"/>
    </xf>
    <xf numFmtId="2" fontId="1" fillId="0" borderId="36" xfId="10" applyNumberFormat="1" applyFill="1" applyBorder="1"/>
    <xf numFmtId="2" fontId="1" fillId="0" borderId="37" xfId="10" applyNumberFormat="1" applyFill="1" applyBorder="1"/>
    <xf numFmtId="2" fontId="1" fillId="0" borderId="36" xfId="10" applyNumberFormat="1" applyFill="1" applyBorder="1" applyAlignment="1">
      <alignment horizontal="right"/>
    </xf>
    <xf numFmtId="2" fontId="1" fillId="0" borderId="37" xfId="10" applyNumberFormat="1" applyFill="1" applyBorder="1" applyAlignment="1">
      <alignment horizontal="right"/>
    </xf>
    <xf numFmtId="1" fontId="1" fillId="0" borderId="35" xfId="10" applyNumberFormat="1" applyFill="1" applyBorder="1" applyProtection="1">
      <protection locked="0"/>
    </xf>
    <xf numFmtId="0" fontId="1" fillId="0" borderId="44" xfId="9" applyFont="1" applyFill="1" applyBorder="1" applyAlignment="1"/>
    <xf numFmtId="0" fontId="1" fillId="0" borderId="56" xfId="10" applyFill="1" applyBorder="1"/>
    <xf numFmtId="0" fontId="29" fillId="0" borderId="45" xfId="10" applyFont="1" applyFill="1" applyBorder="1"/>
    <xf numFmtId="2" fontId="1" fillId="0" borderId="44" xfId="10" applyNumberFormat="1" applyFill="1" applyBorder="1"/>
    <xf numFmtId="1" fontId="1" fillId="0" borderId="56" xfId="10" applyNumberFormat="1" applyFill="1" applyBorder="1"/>
    <xf numFmtId="2" fontId="1" fillId="0" borderId="56" xfId="10" applyNumberFormat="1" applyFill="1" applyBorder="1"/>
    <xf numFmtId="1" fontId="1" fillId="0" borderId="45" xfId="10" applyNumberFormat="1" applyFill="1" applyBorder="1"/>
    <xf numFmtId="1" fontId="1" fillId="0" borderId="78" xfId="10" applyNumberFormat="1" applyFill="1" applyBorder="1" applyProtection="1">
      <protection locked="0"/>
    </xf>
    <xf numFmtId="2" fontId="1" fillId="0" borderId="31" xfId="10" applyNumberFormat="1" applyFill="1" applyBorder="1"/>
    <xf numFmtId="2" fontId="1" fillId="0" borderId="32" xfId="10" applyNumberFormat="1" applyFill="1" applyBorder="1"/>
    <xf numFmtId="1" fontId="1" fillId="0" borderId="30" xfId="10" applyNumberFormat="1" applyFill="1" applyBorder="1" applyProtection="1">
      <protection locked="0"/>
    </xf>
    <xf numFmtId="0" fontId="1" fillId="0" borderId="17" xfId="9" applyFont="1" applyFill="1" applyBorder="1"/>
    <xf numFmtId="0" fontId="31" fillId="0" borderId="18" xfId="10" applyFont="1" applyFill="1" applyBorder="1"/>
    <xf numFmtId="2" fontId="1" fillId="0" borderId="18" xfId="10" applyNumberFormat="1" applyFont="1" applyFill="1" applyBorder="1"/>
    <xf numFmtId="1" fontId="1" fillId="0" borderId="18" xfId="10" applyNumberFormat="1" applyFont="1" applyFill="1" applyBorder="1"/>
    <xf numFmtId="1" fontId="1" fillId="0" borderId="19" xfId="10" applyNumberFormat="1" applyFont="1" applyFill="1" applyBorder="1"/>
    <xf numFmtId="1" fontId="1" fillId="0" borderId="13" xfId="10" applyNumberFormat="1" applyFont="1" applyFill="1" applyBorder="1" applyProtection="1">
      <protection locked="0"/>
    </xf>
    <xf numFmtId="2" fontId="1" fillId="0" borderId="8" xfId="10" applyNumberFormat="1" applyFont="1" applyFill="1" applyBorder="1"/>
    <xf numFmtId="2" fontId="1" fillId="0" borderId="9" xfId="10" applyNumberFormat="1" applyFont="1" applyFill="1" applyBorder="1"/>
    <xf numFmtId="1" fontId="1" fillId="0" borderId="7" xfId="10" applyNumberFormat="1" applyFont="1" applyFill="1" applyBorder="1" applyProtection="1">
      <protection locked="0"/>
    </xf>
    <xf numFmtId="0" fontId="1" fillId="0" borderId="38" xfId="9" applyFont="1" applyFill="1" applyBorder="1"/>
    <xf numFmtId="0" fontId="31" fillId="0" borderId="0" xfId="10" applyFont="1" applyFill="1" applyBorder="1"/>
    <xf numFmtId="2" fontId="1" fillId="0" borderId="0" xfId="10" applyNumberFormat="1" applyFont="1" applyFill="1" applyBorder="1"/>
    <xf numFmtId="1" fontId="1" fillId="0" borderId="0" xfId="10" applyNumberFormat="1" applyFont="1" applyFill="1" applyBorder="1"/>
    <xf numFmtId="1" fontId="1" fillId="0" borderId="0" xfId="10" applyNumberFormat="1" applyFont="1" applyFill="1" applyBorder="1" applyProtection="1">
      <protection locked="0"/>
    </xf>
    <xf numFmtId="2" fontId="1" fillId="0" borderId="39" xfId="10" applyNumberFormat="1" applyFont="1" applyFill="1" applyBorder="1"/>
    <xf numFmtId="1" fontId="1" fillId="0" borderId="38" xfId="10" applyNumberFormat="1" applyFont="1" applyFill="1" applyBorder="1" applyProtection="1">
      <protection locked="0"/>
    </xf>
    <xf numFmtId="0" fontId="28" fillId="0" borderId="0" xfId="10" applyFont="1" applyFill="1" applyBorder="1"/>
    <xf numFmtId="0" fontId="9" fillId="0" borderId="0" xfId="10" applyFont="1" applyFill="1" applyBorder="1"/>
    <xf numFmtId="0" fontId="29" fillId="0" borderId="0" xfId="10" applyFont="1" applyFill="1" applyBorder="1" applyAlignment="1">
      <alignment horizontal="centerContinuous"/>
    </xf>
    <xf numFmtId="2" fontId="9" fillId="0" borderId="0" xfId="10" applyNumberFormat="1" applyFont="1" applyFill="1" applyBorder="1" applyAlignment="1">
      <alignment horizontal="centerContinuous"/>
    </xf>
    <xf numFmtId="0" fontId="9" fillId="0" borderId="0" xfId="10" applyFont="1" applyFill="1" applyBorder="1" applyAlignment="1">
      <alignment horizontal="centerContinuous"/>
    </xf>
    <xf numFmtId="0" fontId="1" fillId="0" borderId="0" xfId="10" applyFill="1" applyBorder="1" applyAlignment="1">
      <alignment horizontal="centerContinuous"/>
    </xf>
    <xf numFmtId="0" fontId="1" fillId="0" borderId="39" xfId="10" applyFill="1" applyBorder="1" applyAlignment="1">
      <alignment horizontal="centerContinuous"/>
    </xf>
    <xf numFmtId="0" fontId="9" fillId="0" borderId="38" xfId="10" applyFont="1" applyFill="1" applyBorder="1" applyAlignment="1">
      <alignment horizontal="centerContinuous"/>
    </xf>
    <xf numFmtId="0" fontId="1" fillId="0" borderId="23" xfId="10" applyFill="1" applyBorder="1"/>
    <xf numFmtId="0" fontId="9" fillId="0" borderId="33" xfId="10" applyFont="1" applyFill="1" applyBorder="1"/>
    <xf numFmtId="0" fontId="1" fillId="0" borderId="49" xfId="10" applyFont="1" applyFill="1" applyBorder="1"/>
    <xf numFmtId="164" fontId="34" fillId="0" borderId="79" xfId="10" applyNumberFormat="1" applyFont="1" applyFill="1" applyBorder="1" applyAlignment="1">
      <alignment horizontal="right"/>
    </xf>
    <xf numFmtId="49" fontId="34" fillId="0" borderId="80" xfId="10" applyNumberFormat="1" applyFont="1" applyFill="1" applyBorder="1" applyAlignment="1">
      <alignment horizontal="center"/>
    </xf>
    <xf numFmtId="164" fontId="34" fillId="0" borderId="81" xfId="10" applyNumberFormat="1" applyFont="1" applyFill="1" applyBorder="1" applyAlignment="1">
      <alignment horizontal="left"/>
    </xf>
    <xf numFmtId="0" fontId="1" fillId="0" borderId="40" xfId="10" applyFill="1" applyBorder="1"/>
    <xf numFmtId="0" fontId="9" fillId="0" borderId="41" xfId="10" applyFont="1" applyFill="1" applyBorder="1"/>
    <xf numFmtId="0" fontId="1" fillId="0" borderId="43" xfId="10" applyFill="1" applyBorder="1"/>
    <xf numFmtId="0" fontId="9" fillId="0" borderId="43" xfId="10" applyFont="1" applyFill="1" applyBorder="1"/>
    <xf numFmtId="0" fontId="28" fillId="0" borderId="43" xfId="10" applyFont="1" applyFill="1" applyBorder="1"/>
    <xf numFmtId="164" fontId="34" fillId="0" borderId="27" xfId="10" applyNumberFormat="1" applyFont="1" applyFill="1" applyBorder="1" applyAlignment="1">
      <alignment horizontal="right"/>
    </xf>
    <xf numFmtId="49" fontId="34" fillId="0" borderId="16" xfId="10" applyNumberFormat="1" applyFont="1" applyFill="1" applyBorder="1" applyAlignment="1">
      <alignment horizontal="center"/>
    </xf>
    <xf numFmtId="164" fontId="34" fillId="0" borderId="28" xfId="10" applyNumberFormat="1" applyFont="1" applyFill="1" applyBorder="1" applyAlignment="1">
      <alignment horizontal="left"/>
    </xf>
    <xf numFmtId="2" fontId="9" fillId="0" borderId="82" xfId="10" applyNumberFormat="1" applyFont="1" applyFill="1" applyBorder="1" applyAlignment="1"/>
    <xf numFmtId="0" fontId="33" fillId="0" borderId="83" xfId="10" applyFont="1" applyFill="1" applyBorder="1" applyAlignment="1">
      <alignment horizontal="left"/>
    </xf>
    <xf numFmtId="0" fontId="1" fillId="0" borderId="83" xfId="10" applyFill="1" applyBorder="1"/>
    <xf numFmtId="0" fontId="34" fillId="0" borderId="83" xfId="10" applyFont="1" applyFill="1" applyBorder="1" applyAlignment="1">
      <alignment horizontal="right"/>
    </xf>
    <xf numFmtId="165" fontId="34" fillId="0" borderId="95" xfId="10" applyNumberFormat="1" applyFont="1" applyFill="1" applyBorder="1" applyAlignment="1">
      <alignment horizontal="left"/>
    </xf>
    <xf numFmtId="0" fontId="34" fillId="0" borderId="22" xfId="10" applyFont="1" applyFill="1" applyBorder="1" applyAlignment="1">
      <alignment horizontal="left"/>
    </xf>
    <xf numFmtId="0" fontId="34" fillId="0" borderId="0" xfId="10" applyFont="1" applyFill="1" applyBorder="1" applyAlignment="1">
      <alignment horizontal="right"/>
    </xf>
    <xf numFmtId="0" fontId="34" fillId="0" borderId="0" xfId="10" applyFont="1" applyFill="1" applyBorder="1" applyAlignment="1">
      <alignment horizontal="centerContinuous"/>
    </xf>
    <xf numFmtId="0" fontId="34" fillId="0" borderId="0" xfId="10" applyFont="1" applyFill="1" applyBorder="1" applyAlignment="1">
      <alignment horizontal="left"/>
    </xf>
    <xf numFmtId="0" fontId="34" fillId="0" borderId="20" xfId="10" applyFont="1" applyFill="1" applyBorder="1" applyAlignment="1">
      <alignment horizontal="right"/>
    </xf>
    <xf numFmtId="0" fontId="34" fillId="0" borderId="21" xfId="10" applyFont="1" applyFill="1" applyBorder="1"/>
    <xf numFmtId="0" fontId="34" fillId="0" borderId="39" xfId="10" applyFont="1" applyFill="1" applyBorder="1" applyAlignment="1">
      <alignment horizontal="left"/>
    </xf>
    <xf numFmtId="0" fontId="34" fillId="0" borderId="38" xfId="10" applyFont="1" applyFill="1" applyBorder="1" applyAlignment="1">
      <alignment horizontal="right"/>
    </xf>
    <xf numFmtId="0" fontId="35" fillId="0" borderId="27" xfId="10" applyFont="1" applyFill="1" applyBorder="1" applyAlignment="1">
      <alignment horizontal="left"/>
    </xf>
    <xf numFmtId="0" fontId="9" fillId="0" borderId="16" xfId="10" applyFont="1" applyFill="1" applyBorder="1" applyAlignment="1">
      <alignment horizontal="centerContinuous"/>
    </xf>
    <xf numFmtId="0" fontId="9" fillId="0" borderId="16" xfId="10" applyFont="1" applyFill="1" applyBorder="1"/>
    <xf numFmtId="2" fontId="9" fillId="0" borderId="16" xfId="10" applyNumberFormat="1" applyFont="1" applyFill="1" applyBorder="1" applyAlignment="1">
      <alignment horizontal="left"/>
    </xf>
    <xf numFmtId="2" fontId="9" fillId="0" borderId="16" xfId="10" applyNumberFormat="1" applyFont="1" applyFill="1" applyBorder="1" applyAlignment="1">
      <alignment horizontal="center"/>
    </xf>
    <xf numFmtId="164" fontId="9" fillId="0" borderId="16" xfId="10" applyNumberFormat="1" applyFont="1" applyFill="1" applyBorder="1"/>
    <xf numFmtId="0" fontId="9" fillId="0" borderId="16" xfId="10" applyFont="1" applyFill="1" applyBorder="1" applyAlignment="1">
      <alignment horizontal="left"/>
    </xf>
    <xf numFmtId="0" fontId="9" fillId="0" borderId="28" xfId="10" applyFont="1" applyFill="1" applyBorder="1" applyAlignment="1">
      <alignment horizontal="left"/>
    </xf>
    <xf numFmtId="0" fontId="9" fillId="0" borderId="0" xfId="10" applyFont="1" applyFill="1" applyBorder="1" applyAlignment="1">
      <alignment horizontal="left"/>
    </xf>
    <xf numFmtId="0" fontId="9" fillId="0" borderId="39" xfId="10" applyFont="1" applyFill="1" applyBorder="1" applyAlignment="1">
      <alignment horizontal="left"/>
    </xf>
    <xf numFmtId="0" fontId="1" fillId="0" borderId="29" xfId="10" applyFont="1" applyFill="1" applyBorder="1"/>
    <xf numFmtId="164" fontId="36" fillId="0" borderId="20" xfId="10" applyNumberFormat="1" applyFont="1" applyFill="1" applyBorder="1" applyAlignment="1">
      <alignment horizontal="right"/>
    </xf>
    <xf numFmtId="49" fontId="36" fillId="0" borderId="21" xfId="10" applyNumberFormat="1" applyFont="1" applyFill="1" applyBorder="1" applyAlignment="1">
      <alignment horizontal="center"/>
    </xf>
    <xf numFmtId="164" fontId="36" fillId="0" borderId="22" xfId="10" applyNumberFormat="1" applyFont="1" applyFill="1" applyBorder="1" applyAlignment="1">
      <alignment horizontal="left"/>
    </xf>
    <xf numFmtId="0" fontId="1" fillId="0" borderId="23" xfId="10" applyFont="1" applyFill="1" applyBorder="1"/>
    <xf numFmtId="0" fontId="28" fillId="0" borderId="40" xfId="10" applyFont="1" applyFill="1" applyBorder="1" applyAlignment="1"/>
    <xf numFmtId="0" fontId="1" fillId="0" borderId="52" xfId="10" applyFill="1" applyBorder="1"/>
    <xf numFmtId="0" fontId="9" fillId="0" borderId="40" xfId="10" applyFont="1" applyFill="1" applyBorder="1" applyAlignment="1"/>
    <xf numFmtId="2" fontId="9" fillId="0" borderId="82" xfId="10" applyNumberFormat="1" applyFont="1" applyFill="1" applyBorder="1" applyAlignment="1">
      <alignment horizontal="center"/>
    </xf>
    <xf numFmtId="164" fontId="34" fillId="0" borderId="22" xfId="10" applyNumberFormat="1" applyFont="1" applyFill="1" applyBorder="1" applyAlignment="1">
      <alignment horizontal="left"/>
    </xf>
    <xf numFmtId="164" fontId="34" fillId="0" borderId="0" xfId="10" applyNumberFormat="1" applyFont="1" applyFill="1" applyBorder="1" applyAlignment="1">
      <alignment horizontal="right"/>
    </xf>
    <xf numFmtId="0" fontId="34" fillId="0" borderId="0" xfId="10" applyFont="1" applyFill="1" applyBorder="1" applyAlignment="1"/>
    <xf numFmtId="164" fontId="34" fillId="0" borderId="39" xfId="10" applyNumberFormat="1" applyFont="1" applyFill="1" applyBorder="1" applyAlignment="1">
      <alignment horizontal="left"/>
    </xf>
    <xf numFmtId="164" fontId="34" fillId="0" borderId="20" xfId="10" applyNumberFormat="1" applyFont="1" applyFill="1" applyBorder="1" applyAlignment="1">
      <alignment horizontal="right"/>
    </xf>
    <xf numFmtId="0" fontId="34" fillId="0" borderId="21" xfId="10" applyFont="1" applyFill="1" applyBorder="1" applyAlignment="1"/>
    <xf numFmtId="164" fontId="34" fillId="0" borderId="38" xfId="10" applyNumberFormat="1" applyFont="1" applyFill="1" applyBorder="1" applyAlignment="1">
      <alignment horizontal="right"/>
    </xf>
    <xf numFmtId="0" fontId="35" fillId="0" borderId="38" xfId="10" applyFont="1" applyFill="1" applyBorder="1" applyAlignment="1">
      <alignment horizontal="left"/>
    </xf>
    <xf numFmtId="164" fontId="9" fillId="0" borderId="0" xfId="10" applyNumberFormat="1" applyFont="1" applyFill="1" applyBorder="1"/>
    <xf numFmtId="164" fontId="9" fillId="0" borderId="39" xfId="10" applyNumberFormat="1" applyFont="1" applyFill="1" applyBorder="1" applyAlignment="1">
      <alignment horizontal="left"/>
    </xf>
    <xf numFmtId="164" fontId="36" fillId="0" borderId="17" xfId="10" applyNumberFormat="1" applyFont="1" applyFill="1" applyBorder="1" applyAlignment="1">
      <alignment horizontal="right"/>
    </xf>
    <xf numFmtId="49" fontId="36" fillId="0" borderId="18" xfId="10" applyNumberFormat="1" applyFont="1" applyFill="1" applyBorder="1" applyAlignment="1">
      <alignment horizontal="center"/>
    </xf>
    <xf numFmtId="164" fontId="36" fillId="0" borderId="19" xfId="10" applyNumberFormat="1" applyFont="1" applyFill="1" applyBorder="1" applyAlignment="1">
      <alignment horizontal="left"/>
    </xf>
    <xf numFmtId="0" fontId="29" fillId="0" borderId="38" xfId="10" applyFont="1" applyFill="1" applyBorder="1"/>
    <xf numFmtId="0" fontId="30" fillId="0" borderId="0" xfId="10" applyFont="1" applyFill="1" applyBorder="1"/>
    <xf numFmtId="0" fontId="29" fillId="0" borderId="0" xfId="10" applyFont="1" applyFill="1" applyBorder="1" applyAlignment="1">
      <alignment horizontal="center"/>
    </xf>
    <xf numFmtId="0" fontId="29" fillId="0" borderId="0" xfId="10" applyFont="1" applyFill="1" applyBorder="1"/>
    <xf numFmtId="0" fontId="9" fillId="0" borderId="20" xfId="10" applyFont="1" applyFill="1" applyBorder="1" applyAlignment="1">
      <alignment horizontal="right"/>
    </xf>
    <xf numFmtId="1" fontId="9" fillId="0" borderId="21" xfId="10" applyNumberFormat="1" applyFont="1" applyFill="1" applyBorder="1" applyAlignment="1"/>
    <xf numFmtId="0" fontId="9" fillId="0" borderId="22" xfId="10" applyFont="1" applyFill="1" applyBorder="1" applyAlignment="1">
      <alignment horizontal="left"/>
    </xf>
    <xf numFmtId="0" fontId="9" fillId="0" borderId="21" xfId="10" applyFont="1" applyFill="1" applyBorder="1" applyAlignment="1">
      <alignment horizontal="right"/>
    </xf>
    <xf numFmtId="0" fontId="9" fillId="0" borderId="21" xfId="10" applyFont="1" applyFill="1" applyBorder="1" applyAlignment="1"/>
    <xf numFmtId="0" fontId="29" fillId="0" borderId="27" xfId="10" applyFont="1" applyFill="1" applyBorder="1"/>
    <xf numFmtId="0" fontId="29" fillId="0" borderId="16" xfId="10" applyFont="1" applyFill="1" applyBorder="1" applyAlignment="1">
      <alignment horizontal="center"/>
    </xf>
    <xf numFmtId="2" fontId="29" fillId="0" borderId="27" xfId="10" applyNumberFormat="1" applyFont="1" applyFill="1" applyBorder="1" applyAlignment="1">
      <alignment horizontal="right"/>
    </xf>
    <xf numFmtId="2" fontId="37" fillId="0" borderId="16" xfId="10" applyNumberFormat="1" applyFont="1" applyFill="1" applyBorder="1" applyAlignment="1">
      <alignment horizontal="center"/>
    </xf>
    <xf numFmtId="2" fontId="29" fillId="0" borderId="28" xfId="10" applyNumberFormat="1" applyFont="1" applyFill="1" applyBorder="1" applyAlignment="1">
      <alignment horizontal="left"/>
    </xf>
    <xf numFmtId="0" fontId="38" fillId="0" borderId="0" xfId="0" applyFont="1" applyFill="1"/>
    <xf numFmtId="165" fontId="38" fillId="0" borderId="0" xfId="0" applyNumberFormat="1" applyFont="1" applyFill="1" applyAlignment="1">
      <alignment horizontal="center"/>
    </xf>
    <xf numFmtId="2" fontId="38" fillId="0" borderId="0" xfId="0" applyNumberFormat="1" applyFont="1" applyFill="1"/>
    <xf numFmtId="2" fontId="0" fillId="0" borderId="0" xfId="0" applyNumberFormat="1" applyFill="1"/>
    <xf numFmtId="2" fontId="4" fillId="0" borderId="0" xfId="6" applyNumberFormat="1" applyFont="1" applyFill="1" applyBorder="1" applyProtection="1">
      <protection locked="0"/>
    </xf>
    <xf numFmtId="2" fontId="4" fillId="0" borderId="0" xfId="6" applyNumberFormat="1" applyFont="1" applyFill="1" applyBorder="1"/>
    <xf numFmtId="0" fontId="4" fillId="0" borderId="20" xfId="1" applyNumberFormat="1" applyFont="1" applyBorder="1" applyAlignment="1">
      <alignment horizontal="center"/>
    </xf>
    <xf numFmtId="0" fontId="4" fillId="0" borderId="21" xfId="1" applyNumberFormat="1" applyFont="1" applyBorder="1" applyAlignment="1">
      <alignment horizontal="center"/>
    </xf>
    <xf numFmtId="0" fontId="4" fillId="0" borderId="22" xfId="1" applyNumberFormat="1" applyFont="1" applyBorder="1" applyAlignment="1">
      <alignment horizontal="center"/>
    </xf>
    <xf numFmtId="0" fontId="4" fillId="0" borderId="38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0" fontId="4" fillId="0" borderId="39" xfId="1" applyNumberFormat="1" applyFont="1" applyBorder="1" applyAlignment="1">
      <alignment horizontal="center"/>
    </xf>
    <xf numFmtId="0" fontId="4" fillId="0" borderId="51" xfId="1" applyNumberFormat="1" applyFont="1" applyBorder="1" applyAlignment="1">
      <alignment horizontal="center"/>
    </xf>
    <xf numFmtId="0" fontId="4" fillId="0" borderId="52" xfId="1" applyNumberFormat="1" applyFont="1" applyBorder="1" applyAlignment="1">
      <alignment horizontal="center"/>
    </xf>
    <xf numFmtId="0" fontId="4" fillId="0" borderId="53" xfId="1" applyNumberFormat="1" applyFont="1" applyBorder="1" applyAlignment="1">
      <alignment horizontal="center"/>
    </xf>
    <xf numFmtId="0" fontId="4" fillId="0" borderId="35" xfId="1" applyNumberFormat="1" applyFont="1" applyBorder="1" applyAlignment="1">
      <alignment horizontal="center"/>
    </xf>
    <xf numFmtId="0" fontId="4" fillId="0" borderId="2" xfId="1" applyNumberFormat="1" applyFont="1" applyBorder="1" applyAlignment="1">
      <alignment horizontal="center"/>
    </xf>
    <xf numFmtId="0" fontId="4" fillId="0" borderId="46" xfId="1" applyNumberFormat="1" applyFont="1" applyBorder="1" applyAlignment="1">
      <alignment horizontal="center"/>
    </xf>
    <xf numFmtId="0" fontId="4" fillId="0" borderId="36" xfId="1" applyNumberFormat="1" applyFont="1" applyBorder="1" applyAlignment="1">
      <alignment horizontal="center"/>
    </xf>
    <xf numFmtId="0" fontId="4" fillId="0" borderId="1" xfId="1" applyNumberFormat="1" applyFont="1" applyBorder="1" applyAlignment="1">
      <alignment horizontal="center"/>
    </xf>
    <xf numFmtId="0" fontId="4" fillId="0" borderId="47" xfId="1" applyNumberFormat="1" applyFont="1" applyBorder="1" applyAlignment="1">
      <alignment horizontal="center"/>
    </xf>
    <xf numFmtId="0" fontId="4" fillId="0" borderId="37" xfId="1" applyNumberFormat="1" applyFont="1" applyBorder="1" applyAlignment="1">
      <alignment horizontal="center"/>
    </xf>
    <xf numFmtId="0" fontId="4" fillId="0" borderId="3" xfId="1" applyNumberFormat="1" applyFont="1" applyBorder="1" applyAlignment="1">
      <alignment horizontal="center"/>
    </xf>
    <xf numFmtId="0" fontId="4" fillId="0" borderId="50" xfId="1" applyNumberFormat="1" applyFont="1" applyBorder="1" applyAlignment="1">
      <alignment horizontal="center"/>
    </xf>
    <xf numFmtId="0" fontId="4" fillId="0" borderId="27" xfId="1" applyNumberFormat="1" applyFont="1" applyBorder="1" applyAlignment="1">
      <alignment horizontal="center"/>
    </xf>
    <xf numFmtId="0" fontId="4" fillId="0" borderId="16" xfId="1" applyNumberFormat="1" applyFont="1" applyBorder="1" applyAlignment="1">
      <alignment horizontal="center"/>
    </xf>
    <xf numFmtId="0" fontId="4" fillId="0" borderId="28" xfId="1" applyNumberFormat="1" applyFont="1" applyBorder="1" applyAlignment="1">
      <alignment horizontal="center"/>
    </xf>
    <xf numFmtId="0" fontId="4" fillId="0" borderId="41" xfId="1" applyNumberFormat="1" applyFont="1" applyBorder="1" applyAlignment="1">
      <alignment horizontal="center"/>
    </xf>
    <xf numFmtId="0" fontId="4" fillId="0" borderId="43" xfId="1" applyNumberFormat="1" applyFont="1" applyBorder="1" applyAlignment="1">
      <alignment horizontal="center"/>
    </xf>
    <xf numFmtId="0" fontId="4" fillId="0" borderId="42" xfId="1" applyNumberFormat="1" applyFont="1" applyBorder="1" applyAlignment="1">
      <alignment horizontal="center"/>
    </xf>
    <xf numFmtId="0" fontId="4" fillId="0" borderId="33" xfId="1" applyNumberFormat="1" applyFont="1" applyBorder="1" applyAlignment="1">
      <alignment horizontal="center"/>
    </xf>
    <xf numFmtId="0" fontId="4" fillId="0" borderId="49" xfId="1" applyNumberFormat="1" applyFont="1" applyBorder="1" applyAlignment="1">
      <alignment horizontal="center"/>
    </xf>
    <xf numFmtId="0" fontId="4" fillId="0" borderId="34" xfId="1" applyNumberFormat="1" applyFont="1" applyBorder="1" applyAlignment="1">
      <alignment horizontal="center"/>
    </xf>
    <xf numFmtId="1" fontId="5" fillId="0" borderId="17" xfId="1" applyNumberFormat="1" applyFont="1" applyBorder="1" applyAlignment="1">
      <alignment horizontal="center" vertical="center"/>
    </xf>
    <xf numFmtId="1" fontId="5" fillId="0" borderId="18" xfId="1" applyNumberFormat="1" applyFont="1" applyBorder="1" applyAlignment="1">
      <alignment horizontal="center" vertical="center"/>
    </xf>
    <xf numFmtId="1" fontId="5" fillId="0" borderId="19" xfId="1" applyNumberFormat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5" fillId="0" borderId="31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wrapText="1"/>
    </xf>
    <xf numFmtId="0" fontId="5" fillId="0" borderId="59" xfId="1" applyFont="1" applyBorder="1" applyAlignment="1">
      <alignment horizontal="center" wrapText="1"/>
    </xf>
    <xf numFmtId="0" fontId="5" fillId="0" borderId="25" xfId="1" applyFont="1" applyBorder="1" applyAlignment="1">
      <alignment horizontal="center" wrapText="1"/>
    </xf>
    <xf numFmtId="0" fontId="5" fillId="0" borderId="58" xfId="1" applyFont="1" applyBorder="1" applyAlignment="1">
      <alignment horizontal="center" wrapText="1"/>
    </xf>
    <xf numFmtId="0" fontId="5" fillId="0" borderId="24" xfId="1" applyFont="1" applyBorder="1" applyAlignment="1">
      <alignment horizontal="center" wrapText="1"/>
    </xf>
    <xf numFmtId="0" fontId="5" fillId="0" borderId="57" xfId="1" applyFont="1" applyBorder="1" applyAlignment="1">
      <alignment horizontal="center" wrapText="1"/>
    </xf>
    <xf numFmtId="14" fontId="5" fillId="0" borderId="0" xfId="1" applyNumberFormat="1" applyFont="1" applyAlignment="1">
      <alignment horizontal="right"/>
    </xf>
    <xf numFmtId="0" fontId="5" fillId="0" borderId="0" xfId="1" applyFont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4" fillId="0" borderId="19" xfId="1" applyFont="1" applyBorder="1" applyAlignment="1">
      <alignment horizontal="center"/>
    </xf>
    <xf numFmtId="0" fontId="5" fillId="0" borderId="20" xfId="1" applyNumberFormat="1" applyFont="1" applyBorder="1" applyAlignment="1">
      <alignment horizontal="center" vertical="center" wrapText="1"/>
    </xf>
    <xf numFmtId="0" fontId="5" fillId="0" borderId="21" xfId="1" applyNumberFormat="1" applyFont="1" applyBorder="1" applyAlignment="1">
      <alignment horizontal="center" vertical="center" wrapText="1"/>
    </xf>
    <xf numFmtId="0" fontId="5" fillId="0" borderId="22" xfId="1" applyNumberFormat="1" applyFont="1" applyBorder="1" applyAlignment="1">
      <alignment horizontal="center" vertical="center" wrapText="1"/>
    </xf>
    <xf numFmtId="0" fontId="5" fillId="0" borderId="27" xfId="1" applyNumberFormat="1" applyFont="1" applyBorder="1" applyAlignment="1">
      <alignment horizontal="center" vertical="center" wrapText="1"/>
    </xf>
    <xf numFmtId="0" fontId="5" fillId="0" borderId="16" xfId="1" applyNumberFormat="1" applyFont="1" applyBorder="1" applyAlignment="1">
      <alignment horizontal="center" vertical="center" wrapText="1"/>
    </xf>
    <xf numFmtId="0" fontId="5" fillId="0" borderId="28" xfId="1" applyNumberFormat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4" fillId="0" borderId="44" xfId="1" applyFont="1" applyBorder="1" applyAlignment="1">
      <alignment horizontal="center" vertical="center"/>
    </xf>
    <xf numFmtId="0" fontId="4" fillId="0" borderId="56" xfId="1" applyFont="1" applyBorder="1" applyAlignment="1">
      <alignment horizontal="center" vertical="center"/>
    </xf>
    <xf numFmtId="0" fontId="4" fillId="0" borderId="45" xfId="1" applyFont="1" applyBorder="1" applyAlignment="1">
      <alignment horizontal="center" vertical="center"/>
    </xf>
    <xf numFmtId="166" fontId="4" fillId="0" borderId="21" xfId="1" applyNumberFormat="1" applyFont="1" applyBorder="1" applyAlignment="1">
      <alignment horizontal="left"/>
    </xf>
    <xf numFmtId="0" fontId="4" fillId="0" borderId="38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166" fontId="4" fillId="0" borderId="0" xfId="1" applyNumberFormat="1" applyFont="1" applyBorder="1" applyAlignment="1">
      <alignment horizontal="left"/>
    </xf>
    <xf numFmtId="166" fontId="4" fillId="0" borderId="16" xfId="1" applyNumberFormat="1" applyFont="1" applyBorder="1" applyAlignment="1">
      <alignment horizontal="left"/>
    </xf>
    <xf numFmtId="0" fontId="5" fillId="0" borderId="17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39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/>
    </xf>
    <xf numFmtId="0" fontId="5" fillId="0" borderId="55" xfId="1" applyFont="1" applyBorder="1" applyAlignment="1">
      <alignment horizontal="center"/>
    </xf>
    <xf numFmtId="0" fontId="5" fillId="0" borderId="54" xfId="1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5" fillId="0" borderId="38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 textRotation="90"/>
    </xf>
    <xf numFmtId="0" fontId="5" fillId="0" borderId="40" xfId="1" applyFont="1" applyBorder="1" applyAlignment="1">
      <alignment horizontal="center" vertical="center" textRotation="90"/>
    </xf>
    <xf numFmtId="0" fontId="4" fillId="0" borderId="17" xfId="1" applyNumberFormat="1" applyFont="1" applyBorder="1" applyAlignment="1">
      <alignment horizontal="center"/>
    </xf>
    <xf numFmtId="0" fontId="4" fillId="0" borderId="18" xfId="1" applyNumberFormat="1" applyFont="1" applyBorder="1" applyAlignment="1">
      <alignment horizontal="center"/>
    </xf>
    <xf numFmtId="0" fontId="4" fillId="0" borderId="19" xfId="1" applyNumberFormat="1" applyFont="1" applyBorder="1" applyAlignment="1">
      <alignment horizontal="center"/>
    </xf>
    <xf numFmtId="0" fontId="4" fillId="0" borderId="64" xfId="1" applyNumberFormat="1" applyFont="1" applyBorder="1" applyAlignment="1">
      <alignment horizontal="center"/>
    </xf>
    <xf numFmtId="0" fontId="4" fillId="0" borderId="65" xfId="1" applyNumberFormat="1" applyFont="1" applyBorder="1" applyAlignment="1">
      <alignment horizontal="center"/>
    </xf>
    <xf numFmtId="0" fontId="4" fillId="0" borderId="66" xfId="1" applyNumberFormat="1" applyFont="1" applyBorder="1" applyAlignment="1">
      <alignment horizontal="center"/>
    </xf>
    <xf numFmtId="0" fontId="5" fillId="0" borderId="29" xfId="1" applyFont="1" applyBorder="1" applyAlignment="1">
      <alignment horizontal="center" vertical="center" textRotation="90"/>
    </xf>
    <xf numFmtId="0" fontId="5" fillId="0" borderId="21" xfId="1" applyFont="1" applyBorder="1" applyAlignment="1">
      <alignment horizontal="center" vertical="center" textRotation="90"/>
    </xf>
    <xf numFmtId="0" fontId="5" fillId="0" borderId="16" xfId="1" applyFont="1" applyBorder="1" applyAlignment="1">
      <alignment horizontal="center" vertical="center" textRotation="90"/>
    </xf>
    <xf numFmtId="0" fontId="4" fillId="0" borderId="20" xfId="1" applyFont="1" applyBorder="1" applyAlignment="1">
      <alignment horizontal="center"/>
    </xf>
    <xf numFmtId="0" fontId="4" fillId="0" borderId="21" xfId="1" applyFont="1" applyBorder="1" applyAlignment="1">
      <alignment horizontal="center"/>
    </xf>
    <xf numFmtId="0" fontId="4" fillId="0" borderId="22" xfId="1" applyFont="1" applyBorder="1" applyAlignment="1">
      <alignment horizontal="center"/>
    </xf>
    <xf numFmtId="0" fontId="4" fillId="0" borderId="38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39" xfId="1" applyFont="1" applyBorder="1" applyAlignment="1">
      <alignment horizontal="center"/>
    </xf>
    <xf numFmtId="0" fontId="4" fillId="0" borderId="51" xfId="1" applyFont="1" applyBorder="1" applyAlignment="1">
      <alignment horizontal="center"/>
    </xf>
    <xf numFmtId="0" fontId="4" fillId="0" borderId="52" xfId="1" applyFont="1" applyBorder="1" applyAlignment="1">
      <alignment horizontal="center"/>
    </xf>
    <xf numFmtId="0" fontId="4" fillId="0" borderId="53" xfId="1" applyFont="1" applyBorder="1" applyAlignment="1">
      <alignment horizontal="center"/>
    </xf>
    <xf numFmtId="0" fontId="4" fillId="0" borderId="35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46" xfId="1" applyFont="1" applyBorder="1" applyAlignment="1">
      <alignment horizontal="center"/>
    </xf>
    <xf numFmtId="0" fontId="4" fillId="0" borderId="36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47" xfId="1" applyFont="1" applyBorder="1" applyAlignment="1">
      <alignment horizontal="center"/>
    </xf>
    <xf numFmtId="1" fontId="5" fillId="0" borderId="0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center" wrapText="1"/>
    </xf>
    <xf numFmtId="1" fontId="4" fillId="0" borderId="0" xfId="1" applyNumberFormat="1" applyFont="1" applyBorder="1" applyAlignment="1">
      <alignment horizontal="center"/>
    </xf>
    <xf numFmtId="0" fontId="5" fillId="0" borderId="0" xfId="1" applyFont="1" applyBorder="1" applyAlignment="1">
      <alignment horizontal="center" vertical="center" wrapText="1"/>
    </xf>
    <xf numFmtId="0" fontId="4" fillId="0" borderId="37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50" xfId="1" applyFont="1" applyBorder="1" applyAlignment="1">
      <alignment horizontal="center"/>
    </xf>
    <xf numFmtId="0" fontId="4" fillId="0" borderId="27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4" fillId="0" borderId="28" xfId="1" applyFont="1" applyBorder="1" applyAlignment="1">
      <alignment horizontal="center"/>
    </xf>
    <xf numFmtId="1" fontId="4" fillId="0" borderId="17" xfId="1" applyNumberFormat="1" applyFont="1" applyBorder="1" applyAlignment="1">
      <alignment horizontal="center"/>
    </xf>
    <xf numFmtId="1" fontId="4" fillId="0" borderId="18" xfId="1" applyNumberFormat="1" applyFont="1" applyBorder="1" applyAlignment="1">
      <alignment horizontal="center"/>
    </xf>
    <xf numFmtId="1" fontId="4" fillId="0" borderId="19" xfId="1" applyNumberFormat="1" applyFont="1" applyBorder="1" applyAlignment="1">
      <alignment horizontal="center"/>
    </xf>
    <xf numFmtId="1" fontId="4" fillId="0" borderId="64" xfId="1" applyNumberFormat="1" applyFont="1" applyBorder="1" applyAlignment="1">
      <alignment horizontal="center"/>
    </xf>
    <xf numFmtId="1" fontId="4" fillId="0" borderId="65" xfId="1" applyNumberFormat="1" applyFont="1" applyBorder="1" applyAlignment="1">
      <alignment horizontal="center"/>
    </xf>
    <xf numFmtId="1" fontId="4" fillId="0" borderId="66" xfId="1" applyNumberFormat="1" applyFont="1" applyBorder="1" applyAlignment="1">
      <alignment horizontal="center"/>
    </xf>
    <xf numFmtId="1" fontId="4" fillId="0" borderId="33" xfId="1" applyNumberFormat="1" applyFont="1" applyBorder="1" applyAlignment="1">
      <alignment horizontal="center"/>
    </xf>
    <xf numFmtId="1" fontId="4" fillId="0" borderId="49" xfId="1" applyNumberFormat="1" applyFont="1" applyBorder="1" applyAlignment="1">
      <alignment horizontal="center"/>
    </xf>
    <xf numFmtId="1" fontId="4" fillId="0" borderId="34" xfId="1" applyNumberFormat="1" applyFont="1" applyBorder="1" applyAlignment="1">
      <alignment horizontal="center"/>
    </xf>
    <xf numFmtId="0" fontId="5" fillId="0" borderId="20" xfId="1" applyFont="1" applyBorder="1" applyAlignment="1">
      <alignment horizontal="center" vertical="center" textRotation="90"/>
    </xf>
    <xf numFmtId="0" fontId="5" fillId="0" borderId="38" xfId="1" applyFont="1" applyBorder="1" applyAlignment="1">
      <alignment horizontal="center" vertical="center" textRotation="90"/>
    </xf>
    <xf numFmtId="0" fontId="5" fillId="0" borderId="27" xfId="1" applyFont="1" applyBorder="1" applyAlignment="1">
      <alignment horizontal="center" vertical="center" textRotation="90"/>
    </xf>
    <xf numFmtId="0" fontId="5" fillId="0" borderId="0" xfId="1" applyFont="1" applyBorder="1" applyAlignment="1">
      <alignment horizontal="center" vertical="center" textRotation="90"/>
    </xf>
    <xf numFmtId="164" fontId="4" fillId="0" borderId="36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4" fontId="4" fillId="0" borderId="47" xfId="1" applyNumberFormat="1" applyFont="1" applyBorder="1" applyAlignment="1">
      <alignment horizontal="center"/>
    </xf>
    <xf numFmtId="164" fontId="4" fillId="0" borderId="37" xfId="1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164" fontId="4" fillId="0" borderId="50" xfId="1" applyNumberFormat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2" fillId="0" borderId="38" xfId="0" applyFont="1" applyBorder="1" applyAlignment="1">
      <alignment horizontal="center" vertical="center" textRotation="90"/>
    </xf>
    <xf numFmtId="0" fontId="2" fillId="0" borderId="73" xfId="0" applyFont="1" applyBorder="1" applyAlignment="1">
      <alignment horizontal="center" vertical="center" textRotation="90"/>
    </xf>
    <xf numFmtId="0" fontId="2" fillId="0" borderId="74" xfId="0" applyFont="1" applyBorder="1" applyAlignment="1">
      <alignment horizontal="center" vertical="center" textRotation="90"/>
    </xf>
    <xf numFmtId="0" fontId="2" fillId="0" borderId="75" xfId="0" applyFont="1" applyBorder="1" applyAlignment="1">
      <alignment horizontal="center" vertical="center" textRotation="90"/>
    </xf>
    <xf numFmtId="0" fontId="2" fillId="0" borderId="77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5" xfId="0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/>
    </xf>
    <xf numFmtId="0" fontId="2" fillId="2" borderId="25" xfId="0" applyFont="1" applyFill="1" applyBorder="1" applyAlignment="1">
      <alignment horizontal="center" wrapText="1"/>
    </xf>
    <xf numFmtId="0" fontId="2" fillId="2" borderId="58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57" xfId="0" applyFont="1" applyFill="1" applyBorder="1" applyAlignment="1">
      <alignment horizontal="center" wrapText="1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" fontId="2" fillId="2" borderId="17" xfId="0" applyNumberFormat="1" applyFont="1" applyFill="1" applyBorder="1" applyAlignment="1">
      <alignment horizontal="center"/>
    </xf>
    <xf numFmtId="1" fontId="2" fillId="2" borderId="18" xfId="0" applyNumberFormat="1" applyFont="1" applyFill="1" applyBorder="1" applyAlignment="1">
      <alignment horizontal="center"/>
    </xf>
    <xf numFmtId="1" fontId="2" fillId="2" borderId="19" xfId="0" applyNumberFormat="1" applyFont="1" applyFill="1" applyBorder="1" applyAlignment="1">
      <alignment horizontal="center"/>
    </xf>
    <xf numFmtId="166" fontId="3" fillId="0" borderId="0" xfId="0" applyNumberFormat="1" applyFont="1" applyBorder="1" applyAlignment="1">
      <alignment horizontal="left"/>
    </xf>
    <xf numFmtId="166" fontId="3" fillId="0" borderId="16" xfId="0" applyNumberFormat="1" applyFont="1" applyBorder="1" applyAlignment="1">
      <alignment horizontal="left"/>
    </xf>
    <xf numFmtId="166" fontId="3" fillId="0" borderId="21" xfId="0" applyNumberFormat="1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20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39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/>
    </xf>
    <xf numFmtId="0" fontId="8" fillId="0" borderId="52" xfId="0" applyNumberFormat="1" applyFont="1" applyBorder="1" applyAlignment="1">
      <alignment horizontal="center"/>
    </xf>
    <xf numFmtId="0" fontId="8" fillId="0" borderId="53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49" fontId="8" fillId="2" borderId="36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8" fillId="2" borderId="47" xfId="0" applyNumberFormat="1" applyFont="1" applyFill="1" applyBorder="1" applyAlignment="1">
      <alignment horizontal="center"/>
    </xf>
    <xf numFmtId="0" fontId="8" fillId="0" borderId="37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8" fillId="0" borderId="50" xfId="0" applyNumberFormat="1" applyFont="1" applyBorder="1" applyAlignment="1">
      <alignment horizontal="center"/>
    </xf>
    <xf numFmtId="0" fontId="8" fillId="0" borderId="35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8" fillId="0" borderId="46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/>
    </xf>
    <xf numFmtId="0" fontId="3" fillId="0" borderId="51" xfId="0" applyNumberFormat="1" applyFont="1" applyBorder="1" applyAlignment="1">
      <alignment horizontal="center"/>
    </xf>
    <xf numFmtId="0" fontId="3" fillId="0" borderId="52" xfId="0" applyNumberFormat="1" applyFont="1" applyBorder="1" applyAlignment="1">
      <alignment horizontal="center"/>
    </xf>
    <xf numFmtId="0" fontId="3" fillId="0" borderId="53" xfId="0" applyNumberFormat="1" applyFont="1" applyBorder="1" applyAlignment="1">
      <alignment horizontal="center"/>
    </xf>
    <xf numFmtId="0" fontId="8" fillId="2" borderId="20" xfId="0" applyNumberFormat="1" applyFont="1" applyFill="1" applyBorder="1" applyAlignment="1">
      <alignment horizontal="center"/>
    </xf>
    <xf numFmtId="0" fontId="8" fillId="2" borderId="21" xfId="0" applyNumberFormat="1" applyFont="1" applyFill="1" applyBorder="1" applyAlignment="1">
      <alignment horizontal="center"/>
    </xf>
    <xf numFmtId="0" fontId="8" fillId="2" borderId="22" xfId="0" applyNumberFormat="1" applyFont="1" applyFill="1" applyBorder="1" applyAlignment="1">
      <alignment horizontal="center"/>
    </xf>
    <xf numFmtId="0" fontId="8" fillId="2" borderId="38" xfId="0" applyNumberFormat="1" applyFont="1" applyFill="1" applyBorder="1" applyAlignment="1">
      <alignment horizontal="center"/>
    </xf>
    <xf numFmtId="0" fontId="8" fillId="2" borderId="0" xfId="0" applyNumberFormat="1" applyFont="1" applyFill="1" applyBorder="1" applyAlignment="1">
      <alignment horizontal="center"/>
    </xf>
    <xf numFmtId="0" fontId="8" fillId="2" borderId="39" xfId="0" applyNumberFormat="1" applyFont="1" applyFill="1" applyBorder="1" applyAlignment="1">
      <alignment horizontal="center"/>
    </xf>
    <xf numFmtId="0" fontId="8" fillId="2" borderId="51" xfId="0" applyNumberFormat="1" applyFont="1" applyFill="1" applyBorder="1" applyAlignment="1">
      <alignment horizontal="center"/>
    </xf>
    <xf numFmtId="0" fontId="8" fillId="2" borderId="52" xfId="0" applyNumberFormat="1" applyFont="1" applyFill="1" applyBorder="1" applyAlignment="1">
      <alignment horizontal="center"/>
    </xf>
    <xf numFmtId="0" fontId="8" fillId="2" borderId="53" xfId="0" applyNumberFormat="1" applyFont="1" applyFill="1" applyBorder="1" applyAlignment="1">
      <alignment horizontal="center"/>
    </xf>
    <xf numFmtId="49" fontId="8" fillId="0" borderId="36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47" xfId="0" applyNumberFormat="1" applyFont="1" applyBorder="1" applyAlignment="1">
      <alignment horizontal="center"/>
    </xf>
    <xf numFmtId="0" fontId="8" fillId="2" borderId="35" xfId="0" applyNumberFormat="1" applyFont="1" applyFill="1" applyBorder="1" applyAlignment="1">
      <alignment horizontal="center"/>
    </xf>
    <xf numFmtId="0" fontId="8" fillId="2" borderId="2" xfId="0" applyNumberFormat="1" applyFont="1" applyFill="1" applyBorder="1" applyAlignment="1">
      <alignment horizontal="center"/>
    </xf>
    <xf numFmtId="0" fontId="8" fillId="2" borderId="46" xfId="0" applyNumberFormat="1" applyFont="1" applyFill="1" applyBorder="1" applyAlignment="1">
      <alignment horizontal="center"/>
    </xf>
    <xf numFmtId="0" fontId="8" fillId="2" borderId="37" xfId="0" applyNumberFormat="1" applyFont="1" applyFill="1" applyBorder="1" applyAlignment="1">
      <alignment horizontal="center"/>
    </xf>
    <xf numFmtId="0" fontId="8" fillId="2" borderId="3" xfId="0" applyNumberFormat="1" applyFont="1" applyFill="1" applyBorder="1" applyAlignment="1">
      <alignment horizontal="center"/>
    </xf>
    <xf numFmtId="0" fontId="8" fillId="2" borderId="50" xfId="0" applyNumberFormat="1" applyFont="1" applyFill="1" applyBorder="1" applyAlignment="1">
      <alignment horizontal="center"/>
    </xf>
    <xf numFmtId="0" fontId="8" fillId="0" borderId="27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28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2" borderId="27" xfId="0" applyNumberFormat="1" applyFont="1" applyFill="1" applyBorder="1" applyAlignment="1">
      <alignment horizontal="center"/>
    </xf>
    <xf numFmtId="0" fontId="8" fillId="2" borderId="16" xfId="0" applyNumberFormat="1" applyFont="1" applyFill="1" applyBorder="1" applyAlignment="1">
      <alignment horizontal="center"/>
    </xf>
    <xf numFmtId="0" fontId="8" fillId="2" borderId="28" xfId="0" applyNumberFormat="1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1" fontId="8" fillId="2" borderId="17" xfId="0" applyNumberFormat="1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center"/>
    </xf>
    <xf numFmtId="1" fontId="8" fillId="2" borderId="19" xfId="0" applyNumberFormat="1" applyFont="1" applyFill="1" applyBorder="1" applyAlignment="1">
      <alignment horizontal="center"/>
    </xf>
    <xf numFmtId="49" fontId="8" fillId="2" borderId="3" xfId="0" applyNumberFormat="1" applyFont="1" applyFill="1" applyBorder="1" applyAlignment="1">
      <alignment horizontal="center"/>
    </xf>
    <xf numFmtId="49" fontId="8" fillId="0" borderId="44" xfId="0" applyNumberFormat="1" applyFont="1" applyBorder="1" applyAlignment="1">
      <alignment horizontal="center"/>
    </xf>
    <xf numFmtId="49" fontId="8" fillId="0" borderId="56" xfId="0" applyNumberFormat="1" applyFont="1" applyBorder="1" applyAlignment="1">
      <alignment horizontal="center"/>
    </xf>
    <xf numFmtId="49" fontId="8" fillId="0" borderId="45" xfId="0" applyNumberFormat="1" applyFont="1" applyBorder="1" applyAlignment="1">
      <alignment horizontal="center"/>
    </xf>
    <xf numFmtId="49" fontId="8" fillId="2" borderId="44" xfId="0" applyNumberFormat="1" applyFont="1" applyFill="1" applyBorder="1" applyAlignment="1">
      <alignment horizontal="center"/>
    </xf>
    <xf numFmtId="49" fontId="8" fillId="2" borderId="56" xfId="0" applyNumberFormat="1" applyFont="1" applyFill="1" applyBorder="1" applyAlignment="1">
      <alignment horizontal="center"/>
    </xf>
    <xf numFmtId="49" fontId="8" fillId="2" borderId="45" xfId="0" applyNumberFormat="1" applyFont="1" applyFill="1" applyBorder="1" applyAlignment="1">
      <alignment horizontal="center"/>
    </xf>
    <xf numFmtId="0" fontId="8" fillId="0" borderId="33" xfId="0" applyNumberFormat="1" applyFont="1" applyBorder="1" applyAlignment="1">
      <alignment horizontal="center"/>
    </xf>
    <xf numFmtId="0" fontId="8" fillId="0" borderId="49" xfId="0" applyNumberFormat="1" applyFont="1" applyBorder="1" applyAlignment="1">
      <alignment horizontal="center"/>
    </xf>
    <xf numFmtId="0" fontId="8" fillId="0" borderId="34" xfId="0" applyNumberFormat="1" applyFont="1" applyBorder="1" applyAlignment="1">
      <alignment horizontal="center"/>
    </xf>
    <xf numFmtId="0" fontId="8" fillId="0" borderId="36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1" fontId="8" fillId="0" borderId="33" xfId="0" applyNumberFormat="1" applyFont="1" applyBorder="1" applyAlignment="1">
      <alignment horizontal="center"/>
    </xf>
    <xf numFmtId="1" fontId="8" fillId="0" borderId="49" xfId="0" applyNumberFormat="1" applyFont="1" applyBorder="1" applyAlignment="1">
      <alignment horizontal="center"/>
    </xf>
    <xf numFmtId="1" fontId="8" fillId="0" borderId="34" xfId="0" applyNumberFormat="1" applyFont="1" applyBorder="1" applyAlignment="1">
      <alignment horizontal="center"/>
    </xf>
    <xf numFmtId="1" fontId="8" fillId="0" borderId="35" xfId="0" applyNumberFormat="1" applyFont="1" applyBorder="1" applyAlignment="1">
      <alignment horizontal="center"/>
    </xf>
    <xf numFmtId="1" fontId="8" fillId="0" borderId="36" xfId="0" applyNumberFormat="1" applyFont="1" applyBorder="1" applyAlignment="1">
      <alignment horizontal="center"/>
    </xf>
    <xf numFmtId="1" fontId="8" fillId="0" borderId="37" xfId="0" applyNumberFormat="1" applyFont="1" applyBorder="1" applyAlignment="1">
      <alignment horizontal="center"/>
    </xf>
    <xf numFmtId="0" fontId="8" fillId="2" borderId="36" xfId="0" applyNumberFormat="1" applyFont="1" applyFill="1" applyBorder="1" applyAlignment="1">
      <alignment horizontal="center"/>
    </xf>
    <xf numFmtId="0" fontId="8" fillId="2" borderId="47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" fontId="8" fillId="0" borderId="51" xfId="0" applyNumberFormat="1" applyFont="1" applyBorder="1" applyAlignment="1">
      <alignment horizontal="center"/>
    </xf>
    <xf numFmtId="1" fontId="8" fillId="0" borderId="52" xfId="0" applyNumberFormat="1" applyFont="1" applyBorder="1" applyAlignment="1">
      <alignment horizontal="center"/>
    </xf>
    <xf numFmtId="1" fontId="8" fillId="0" borderId="53" xfId="0" applyNumberFormat="1" applyFont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8" fillId="0" borderId="44" xfId="0" applyNumberFormat="1" applyFont="1" applyBorder="1" applyAlignment="1">
      <alignment horizontal="center"/>
    </xf>
    <xf numFmtId="0" fontId="8" fillId="0" borderId="56" xfId="0" applyNumberFormat="1" applyFont="1" applyBorder="1" applyAlignment="1">
      <alignment horizontal="center"/>
    </xf>
    <xf numFmtId="0" fontId="8" fillId="0" borderId="45" xfId="0" applyNumberFormat="1" applyFont="1" applyBorder="1" applyAlignment="1">
      <alignment horizontal="center"/>
    </xf>
    <xf numFmtId="0" fontId="8" fillId="0" borderId="47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8" fillId="2" borderId="41" xfId="0" applyNumberFormat="1" applyFont="1" applyFill="1" applyBorder="1" applyAlignment="1">
      <alignment horizontal="center"/>
    </xf>
    <xf numFmtId="0" fontId="8" fillId="2" borderId="43" xfId="0" applyNumberFormat="1" applyFont="1" applyFill="1" applyBorder="1" applyAlignment="1">
      <alignment horizontal="center"/>
    </xf>
    <xf numFmtId="0" fontId="8" fillId="2" borderId="42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8" fillId="2" borderId="33" xfId="0" applyNumberFormat="1" applyFont="1" applyFill="1" applyBorder="1" applyAlignment="1">
      <alignment horizontal="center"/>
    </xf>
    <xf numFmtId="0" fontId="8" fillId="2" borderId="49" xfId="0" applyNumberFormat="1" applyFont="1" applyFill="1" applyBorder="1" applyAlignment="1">
      <alignment horizontal="center"/>
    </xf>
    <xf numFmtId="0" fontId="8" fillId="2" borderId="34" xfId="0" applyNumberFormat="1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0" borderId="20" xfId="0" applyNumberFormat="1" applyFont="1" applyBorder="1" applyAlignment="1">
      <alignment horizontal="center" wrapText="1"/>
    </xf>
    <xf numFmtId="0" fontId="2" fillId="0" borderId="21" xfId="0" applyNumberFormat="1" applyFont="1" applyBorder="1" applyAlignment="1">
      <alignment horizontal="center" wrapText="1"/>
    </xf>
    <xf numFmtId="0" fontId="2" fillId="0" borderId="22" xfId="0" applyNumberFormat="1" applyFont="1" applyBorder="1" applyAlignment="1">
      <alignment horizontal="center" wrapText="1"/>
    </xf>
    <xf numFmtId="0" fontId="2" fillId="0" borderId="27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0" fontId="2" fillId="0" borderId="28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4" fontId="2" fillId="0" borderId="0" xfId="0" applyNumberFormat="1" applyFont="1" applyAlignment="1">
      <alignment horizontal="right"/>
    </xf>
    <xf numFmtId="0" fontId="2" fillId="0" borderId="16" xfId="0" applyFont="1" applyBorder="1" applyAlignment="1">
      <alignment horizontal="right" vertical="center"/>
    </xf>
    <xf numFmtId="1" fontId="8" fillId="0" borderId="20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1" fontId="8" fillId="0" borderId="22" xfId="0" applyNumberFormat="1" applyFont="1" applyBorder="1" applyAlignment="1">
      <alignment horizontal="center"/>
    </xf>
    <xf numFmtId="2" fontId="32" fillId="0" borderId="0" xfId="10" applyNumberFormat="1" applyFont="1" applyFill="1" applyBorder="1" applyAlignment="1">
      <alignment horizontal="center"/>
    </xf>
    <xf numFmtId="0" fontId="9" fillId="0" borderId="17" xfId="10" applyFont="1" applyFill="1" applyBorder="1" applyAlignment="1" applyProtection="1">
      <alignment horizontal="center"/>
      <protection locked="0"/>
    </xf>
    <xf numFmtId="0" fontId="9" fillId="0" borderId="18" xfId="10" applyFont="1" applyFill="1" applyBorder="1" applyAlignment="1" applyProtection="1">
      <alignment horizontal="center"/>
      <protection locked="0"/>
    </xf>
    <xf numFmtId="0" fontId="9" fillId="0" borderId="19" xfId="10" applyFont="1" applyFill="1" applyBorder="1" applyAlignment="1" applyProtection="1">
      <alignment horizontal="center"/>
      <protection locked="0"/>
    </xf>
    <xf numFmtId="0" fontId="39" fillId="3" borderId="0" xfId="10" applyFont="1" applyFill="1" applyAlignment="1">
      <alignment horizontal="center"/>
    </xf>
    <xf numFmtId="0" fontId="27" fillId="0" borderId="16" xfId="10" applyFont="1" applyFill="1" applyBorder="1" applyAlignment="1">
      <alignment horizontal="center"/>
    </xf>
    <xf numFmtId="14" fontId="29" fillId="0" borderId="16" xfId="4" applyNumberFormat="1" applyFont="1" applyFill="1" applyBorder="1" applyAlignment="1" applyProtection="1">
      <alignment horizontal="center"/>
      <protection locked="0"/>
    </xf>
    <xf numFmtId="2" fontId="1" fillId="0" borderId="21" xfId="10" applyNumberFormat="1" applyFill="1" applyBorder="1" applyAlignment="1">
      <alignment horizontal="left"/>
    </xf>
    <xf numFmtId="0" fontId="5" fillId="0" borderId="20" xfId="3" applyFont="1" applyFill="1" applyBorder="1" applyAlignment="1">
      <alignment horizontal="left"/>
    </xf>
    <xf numFmtId="0" fontId="5" fillId="0" borderId="21" xfId="3" applyFont="1" applyFill="1" applyBorder="1" applyAlignment="1">
      <alignment horizontal="left"/>
    </xf>
    <xf numFmtId="0" fontId="5" fillId="0" borderId="22" xfId="3" applyFont="1" applyFill="1" applyBorder="1" applyAlignment="1">
      <alignment horizontal="left"/>
    </xf>
    <xf numFmtId="164" fontId="4" fillId="0" borderId="20" xfId="3" applyNumberFormat="1" applyFont="1" applyFill="1" applyBorder="1" applyAlignment="1">
      <alignment horizontal="center"/>
    </xf>
    <xf numFmtId="164" fontId="4" fillId="0" borderId="21" xfId="3" applyNumberFormat="1" applyFont="1" applyFill="1" applyBorder="1" applyAlignment="1">
      <alignment horizontal="center"/>
    </xf>
    <xf numFmtId="164" fontId="4" fillId="0" borderId="22" xfId="3" applyNumberFormat="1" applyFont="1" applyFill="1" applyBorder="1" applyAlignment="1">
      <alignment horizontal="center"/>
    </xf>
    <xf numFmtId="164" fontId="4" fillId="0" borderId="27" xfId="3" applyNumberFormat="1" applyFont="1" applyFill="1" applyBorder="1" applyAlignment="1">
      <alignment horizontal="center"/>
    </xf>
    <xf numFmtId="164" fontId="4" fillId="0" borderId="16" xfId="3" applyNumberFormat="1" applyFont="1" applyFill="1" applyBorder="1" applyAlignment="1">
      <alignment horizontal="center"/>
    </xf>
    <xf numFmtId="164" fontId="4" fillId="0" borderId="28" xfId="3" applyNumberFormat="1" applyFont="1" applyFill="1" applyBorder="1" applyAlignment="1">
      <alignment horizontal="center"/>
    </xf>
    <xf numFmtId="0" fontId="4" fillId="0" borderId="17" xfId="3" applyFont="1" applyFill="1" applyBorder="1" applyAlignment="1" applyProtection="1">
      <alignment horizontal="center"/>
      <protection locked="0"/>
    </xf>
    <xf numFmtId="0" fontId="4" fillId="0" borderId="18" xfId="3" applyFont="1" applyFill="1" applyBorder="1" applyAlignment="1" applyProtection="1">
      <alignment horizontal="center"/>
      <protection locked="0"/>
    </xf>
    <xf numFmtId="0" fontId="4" fillId="0" borderId="19" xfId="3" applyFont="1" applyFill="1" applyBorder="1" applyAlignment="1" applyProtection="1">
      <alignment horizontal="center"/>
      <protection locked="0"/>
    </xf>
    <xf numFmtId="0" fontId="4" fillId="0" borderId="23" xfId="3" applyFont="1" applyFill="1" applyBorder="1" applyAlignment="1">
      <alignment horizontal="center" vertical="center"/>
    </xf>
    <xf numFmtId="0" fontId="4" fillId="0" borderId="40" xfId="3" applyFont="1" applyFill="1" applyBorder="1" applyAlignment="1">
      <alignment horizontal="center" vertical="center"/>
    </xf>
    <xf numFmtId="0" fontId="4" fillId="0" borderId="29" xfId="3" applyFont="1" applyFill="1" applyBorder="1" applyAlignment="1">
      <alignment horizontal="center" vertical="center"/>
    </xf>
    <xf numFmtId="0" fontId="4" fillId="0" borderId="83" xfId="3" applyFont="1" applyFill="1" applyBorder="1" applyAlignment="1">
      <alignment horizontal="right"/>
    </xf>
    <xf numFmtId="0" fontId="4" fillId="0" borderId="20" xfId="3" applyFont="1" applyFill="1" applyBorder="1" applyAlignment="1">
      <alignment horizontal="center"/>
    </xf>
    <xf numFmtId="0" fontId="4" fillId="0" borderId="21" xfId="3" applyFont="1" applyFill="1" applyBorder="1" applyAlignment="1">
      <alignment horizontal="center"/>
    </xf>
    <xf numFmtId="0" fontId="4" fillId="0" borderId="22" xfId="3" applyFont="1" applyFill="1" applyBorder="1" applyAlignment="1">
      <alignment horizontal="center"/>
    </xf>
    <xf numFmtId="0" fontId="4" fillId="0" borderId="27" xfId="3" applyFont="1" applyFill="1" applyBorder="1" applyAlignment="1">
      <alignment horizontal="center"/>
    </xf>
    <xf numFmtId="0" fontId="4" fillId="0" borderId="16" xfId="3" applyFont="1" applyFill="1" applyBorder="1" applyAlignment="1">
      <alignment horizontal="center"/>
    </xf>
    <xf numFmtId="0" fontId="4" fillId="0" borderId="28" xfId="3" applyFont="1" applyFill="1" applyBorder="1" applyAlignment="1">
      <alignment horizontal="center"/>
    </xf>
    <xf numFmtId="1" fontId="5" fillId="0" borderId="20" xfId="7" applyNumberFormat="1" applyFont="1" applyFill="1" applyBorder="1" applyAlignment="1">
      <alignment horizontal="center" vertical="center"/>
    </xf>
    <xf numFmtId="1" fontId="5" fillId="0" borderId="21" xfId="7" applyNumberFormat="1" applyFont="1" applyFill="1" applyBorder="1" applyAlignment="1">
      <alignment horizontal="center" vertical="center"/>
    </xf>
    <xf numFmtId="1" fontId="5" fillId="0" borderId="22" xfId="7" applyNumberFormat="1" applyFont="1" applyFill="1" applyBorder="1" applyAlignment="1">
      <alignment horizontal="center" vertical="center"/>
    </xf>
    <xf numFmtId="1" fontId="5" fillId="0" borderId="27" xfId="7" applyNumberFormat="1" applyFont="1" applyFill="1" applyBorder="1" applyAlignment="1">
      <alignment horizontal="center" vertical="center"/>
    </xf>
    <xf numFmtId="1" fontId="5" fillId="0" borderId="16" xfId="7" applyNumberFormat="1" applyFont="1" applyFill="1" applyBorder="1" applyAlignment="1">
      <alignment horizontal="center" vertical="center"/>
    </xf>
    <xf numFmtId="1" fontId="5" fillId="0" borderId="28" xfId="7" applyNumberFormat="1" applyFont="1" applyFill="1" applyBorder="1" applyAlignment="1">
      <alignment horizontal="center" vertical="center"/>
    </xf>
    <xf numFmtId="0" fontId="5" fillId="0" borderId="27" xfId="3" applyFont="1" applyFill="1" applyBorder="1" applyAlignment="1">
      <alignment horizontal="left"/>
    </xf>
    <xf numFmtId="0" fontId="5" fillId="0" borderId="16" xfId="3" applyFont="1" applyFill="1" applyBorder="1" applyAlignment="1">
      <alignment horizontal="left"/>
    </xf>
    <xf numFmtId="0" fontId="4" fillId="0" borderId="35" xfId="3" applyFont="1" applyFill="1" applyBorder="1" applyAlignment="1">
      <alignment horizontal="left"/>
    </xf>
    <xf numFmtId="0" fontId="4" fillId="0" borderId="36" xfId="3" applyFont="1" applyFill="1" applyBorder="1" applyAlignment="1">
      <alignment horizontal="left"/>
    </xf>
    <xf numFmtId="0" fontId="4" fillId="0" borderId="37" xfId="3" applyFont="1" applyFill="1" applyBorder="1" applyAlignment="1">
      <alignment horizontal="left"/>
    </xf>
    <xf numFmtId="0" fontId="4" fillId="0" borderId="46" xfId="3" applyFont="1" applyFill="1" applyBorder="1" applyAlignment="1">
      <alignment horizontal="left"/>
    </xf>
    <xf numFmtId="0" fontId="4" fillId="0" borderId="47" xfId="3" applyFont="1" applyFill="1" applyBorder="1" applyAlignment="1">
      <alignment horizontal="left"/>
    </xf>
    <xf numFmtId="0" fontId="4" fillId="0" borderId="50" xfId="3" applyFont="1" applyFill="1" applyBorder="1" applyAlignment="1">
      <alignment horizontal="left"/>
    </xf>
    <xf numFmtId="0" fontId="4" fillId="0" borderId="27" xfId="3" applyFont="1" applyFill="1" applyBorder="1" applyAlignment="1">
      <alignment horizontal="left"/>
    </xf>
    <xf numFmtId="0" fontId="4" fillId="0" borderId="16" xfId="3" applyFont="1" applyFill="1" applyBorder="1" applyAlignment="1">
      <alignment horizontal="left"/>
    </xf>
    <xf numFmtId="2" fontId="4" fillId="0" borderId="16" xfId="3" applyNumberFormat="1" applyFont="1" applyFill="1" applyBorder="1" applyAlignment="1">
      <alignment horizontal="center"/>
    </xf>
    <xf numFmtId="2" fontId="4" fillId="0" borderId="35" xfId="3" applyNumberFormat="1" applyFont="1" applyFill="1" applyBorder="1" applyAlignment="1">
      <alignment horizontal="center"/>
    </xf>
    <xf numFmtId="2" fontId="4" fillId="0" borderId="36" xfId="3" applyNumberFormat="1" applyFont="1" applyFill="1" applyBorder="1" applyAlignment="1">
      <alignment horizontal="center"/>
    </xf>
    <xf numFmtId="2" fontId="4" fillId="0" borderId="37" xfId="3" applyNumberFormat="1" applyFont="1" applyFill="1" applyBorder="1" applyAlignment="1">
      <alignment horizontal="center"/>
    </xf>
    <xf numFmtId="0" fontId="4" fillId="0" borderId="20" xfId="3" applyFont="1" applyFill="1" applyBorder="1" applyAlignment="1">
      <alignment horizontal="center" vertical="center"/>
    </xf>
    <xf numFmtId="0" fontId="4" fillId="0" borderId="21" xfId="3" applyFont="1" applyFill="1" applyBorder="1" applyAlignment="1">
      <alignment horizontal="center" vertical="center"/>
    </xf>
    <xf numFmtId="0" fontId="4" fillId="0" borderId="22" xfId="3" applyFont="1" applyFill="1" applyBorder="1" applyAlignment="1">
      <alignment horizontal="center" vertical="center"/>
    </xf>
    <xf numFmtId="0" fontId="4" fillId="0" borderId="27" xfId="3" applyFont="1" applyFill="1" applyBorder="1" applyAlignment="1">
      <alignment horizontal="center" vertical="center"/>
    </xf>
    <xf numFmtId="0" fontId="4" fillId="0" borderId="16" xfId="3" applyFont="1" applyFill="1" applyBorder="1" applyAlignment="1">
      <alignment horizontal="center" vertical="center"/>
    </xf>
    <xf numFmtId="0" fontId="4" fillId="0" borderId="28" xfId="3" applyFont="1" applyFill="1" applyBorder="1" applyAlignment="1">
      <alignment horizontal="center" vertical="center"/>
    </xf>
    <xf numFmtId="0" fontId="4" fillId="0" borderId="33" xfId="3" applyFont="1" applyFill="1" applyBorder="1" applyAlignment="1">
      <alignment horizontal="left"/>
    </xf>
    <xf numFmtId="0" fontId="4" fillId="0" borderId="34" xfId="3" applyFont="1" applyFill="1" applyBorder="1" applyAlignment="1">
      <alignment horizontal="left"/>
    </xf>
    <xf numFmtId="0" fontId="4" fillId="0" borderId="44" xfId="4" applyFont="1" applyFill="1" applyBorder="1" applyAlignment="1">
      <alignment horizontal="left"/>
    </xf>
    <xf numFmtId="0" fontId="4" fillId="0" borderId="45" xfId="4" applyFont="1" applyFill="1" applyBorder="1" applyAlignment="1">
      <alignment horizontal="left"/>
    </xf>
    <xf numFmtId="2" fontId="4" fillId="0" borderId="0" xfId="3" applyNumberFormat="1" applyFont="1" applyFill="1" applyBorder="1" applyAlignment="1">
      <alignment horizontal="center"/>
    </xf>
    <xf numFmtId="2" fontId="4" fillId="0" borderId="46" xfId="3" applyNumberFormat="1" applyFont="1" applyFill="1" applyBorder="1" applyAlignment="1">
      <alignment horizontal="center"/>
    </xf>
    <xf numFmtId="2" fontId="4" fillId="0" borderId="47" xfId="3" applyNumberFormat="1" applyFont="1" applyFill="1" applyBorder="1" applyAlignment="1">
      <alignment horizontal="center"/>
    </xf>
    <xf numFmtId="2" fontId="4" fillId="0" borderId="50" xfId="3" applyNumberFormat="1" applyFont="1" applyFill="1" applyBorder="1" applyAlignment="1">
      <alignment horizontal="center"/>
    </xf>
    <xf numFmtId="0" fontId="4" fillId="0" borderId="17" xfId="3" applyFont="1" applyFill="1" applyBorder="1" applyAlignment="1">
      <alignment horizontal="left"/>
    </xf>
    <xf numFmtId="0" fontId="4" fillId="0" borderId="18" xfId="3" applyFont="1" applyFill="1" applyBorder="1" applyAlignment="1">
      <alignment horizontal="left"/>
    </xf>
    <xf numFmtId="0" fontId="4" fillId="0" borderId="19" xfId="3" applyFont="1" applyFill="1" applyBorder="1" applyAlignment="1">
      <alignment horizontal="left"/>
    </xf>
    <xf numFmtId="0" fontId="4" fillId="0" borderId="38" xfId="5" applyNumberFormat="1" applyFont="1" applyFill="1" applyBorder="1" applyAlignment="1" applyProtection="1">
      <alignment horizontal="center"/>
      <protection locked="0"/>
    </xf>
    <xf numFmtId="0" fontId="4" fillId="0" borderId="0" xfId="5" applyNumberFormat="1" applyFont="1" applyFill="1" applyBorder="1" applyAlignment="1" applyProtection="1">
      <alignment horizontal="center"/>
      <protection locked="0"/>
    </xf>
    <xf numFmtId="0" fontId="4" fillId="0" borderId="39" xfId="5" applyNumberFormat="1" applyFont="1" applyFill="1" applyBorder="1" applyAlignment="1" applyProtection="1">
      <alignment horizontal="center"/>
      <protection locked="0"/>
    </xf>
    <xf numFmtId="0" fontId="4" fillId="0" borderId="17" xfId="5" applyNumberFormat="1" applyFont="1" applyFill="1" applyBorder="1" applyAlignment="1" applyProtection="1">
      <alignment horizontal="center"/>
      <protection locked="0"/>
    </xf>
    <xf numFmtId="0" fontId="4" fillId="0" borderId="18" xfId="5" applyNumberFormat="1" applyFont="1" applyFill="1" applyBorder="1" applyAlignment="1" applyProtection="1">
      <alignment horizontal="center"/>
      <protection locked="0"/>
    </xf>
    <xf numFmtId="0" fontId="4" fillId="0" borderId="19" xfId="5" applyNumberFormat="1" applyFont="1" applyFill="1" applyBorder="1" applyAlignment="1" applyProtection="1">
      <alignment horizontal="center"/>
      <protection locked="0"/>
    </xf>
    <xf numFmtId="0" fontId="4" fillId="0" borderId="20" xfId="3" applyFont="1" applyFill="1" applyBorder="1" applyAlignment="1">
      <alignment horizontal="center" vertical="center" wrapText="1"/>
    </xf>
    <xf numFmtId="0" fontId="4" fillId="0" borderId="38" xfId="3" applyFont="1" applyFill="1" applyBorder="1" applyAlignment="1">
      <alignment horizontal="center" vertical="center"/>
    </xf>
    <xf numFmtId="0" fontId="4" fillId="0" borderId="39" xfId="3" applyFont="1" applyFill="1" applyBorder="1" applyAlignment="1">
      <alignment horizontal="center" vertical="center"/>
    </xf>
    <xf numFmtId="0" fontId="4" fillId="0" borderId="20" xfId="4" applyFont="1" applyFill="1" applyBorder="1" applyAlignment="1">
      <alignment horizontal="center" vertical="center"/>
    </xf>
    <xf numFmtId="0" fontId="4" fillId="0" borderId="22" xfId="4" applyFont="1" applyFill="1" applyBorder="1" applyAlignment="1">
      <alignment horizontal="center" vertical="center"/>
    </xf>
    <xf numFmtId="0" fontId="4" fillId="0" borderId="27" xfId="4" applyFont="1" applyFill="1" applyBorder="1" applyAlignment="1">
      <alignment horizontal="center" vertical="center"/>
    </xf>
    <xf numFmtId="0" fontId="4" fillId="0" borderId="28" xfId="4" applyFont="1" applyFill="1" applyBorder="1" applyAlignment="1">
      <alignment horizontal="center" vertical="center"/>
    </xf>
    <xf numFmtId="0" fontId="4" fillId="0" borderId="49" xfId="3" applyFont="1" applyFill="1" applyBorder="1" applyAlignment="1">
      <alignment horizontal="left"/>
    </xf>
    <xf numFmtId="0" fontId="4" fillId="0" borderId="56" xfId="4" applyFont="1" applyFill="1" applyBorder="1" applyAlignment="1">
      <alignment horizontal="left"/>
    </xf>
    <xf numFmtId="1" fontId="5" fillId="0" borderId="17" xfId="7" applyNumberFormat="1" applyFont="1" applyFill="1" applyBorder="1" applyAlignment="1">
      <alignment horizontal="center"/>
    </xf>
    <xf numFmtId="1" fontId="5" fillId="0" borderId="18" xfId="7" applyNumberFormat="1" applyFont="1" applyFill="1" applyBorder="1" applyAlignment="1">
      <alignment horizontal="center"/>
    </xf>
    <xf numFmtId="1" fontId="5" fillId="0" borderId="19" xfId="7" applyNumberFormat="1" applyFont="1" applyFill="1" applyBorder="1" applyAlignment="1">
      <alignment horizontal="center"/>
    </xf>
    <xf numFmtId="0" fontId="5" fillId="0" borderId="20" xfId="4" applyFont="1" applyFill="1" applyBorder="1" applyAlignment="1">
      <alignment horizontal="center" wrapText="1"/>
    </xf>
    <xf numFmtId="0" fontId="5" fillId="0" borderId="22" xfId="4" applyFont="1" applyFill="1" applyBorder="1" applyAlignment="1">
      <alignment horizontal="center"/>
    </xf>
    <xf numFmtId="0" fontId="5" fillId="0" borderId="27" xfId="4" applyFont="1" applyFill="1" applyBorder="1" applyAlignment="1">
      <alignment horizontal="center"/>
    </xf>
    <xf numFmtId="0" fontId="5" fillId="0" borderId="28" xfId="4" applyFont="1" applyFill="1" applyBorder="1" applyAlignment="1">
      <alignment horizontal="center"/>
    </xf>
    <xf numFmtId="0" fontId="5" fillId="0" borderId="23" xfId="4" applyFont="1" applyFill="1" applyBorder="1" applyAlignment="1">
      <alignment horizontal="center" wrapText="1"/>
    </xf>
    <xf numFmtId="0" fontId="5" fillId="0" borderId="29" xfId="4" applyFont="1" applyFill="1" applyBorder="1" applyAlignment="1">
      <alignment horizontal="center"/>
    </xf>
    <xf numFmtId="0" fontId="4" fillId="0" borderId="20" xfId="4" applyFont="1" applyFill="1" applyBorder="1" applyAlignment="1">
      <alignment horizontal="center"/>
    </xf>
    <xf numFmtId="0" fontId="4" fillId="0" borderId="21" xfId="4" applyFont="1" applyFill="1" applyBorder="1" applyAlignment="1">
      <alignment horizontal="center"/>
    </xf>
    <xf numFmtId="0" fontId="4" fillId="0" borderId="22" xfId="4" applyFont="1" applyFill="1" applyBorder="1" applyAlignment="1">
      <alignment horizontal="center"/>
    </xf>
    <xf numFmtId="0" fontId="4" fillId="0" borderId="27" xfId="4" applyFont="1" applyFill="1" applyBorder="1" applyAlignment="1">
      <alignment horizontal="center"/>
    </xf>
    <xf numFmtId="0" fontId="4" fillId="0" borderId="16" xfId="4" applyFont="1" applyFill="1" applyBorder="1" applyAlignment="1">
      <alignment horizontal="center"/>
    </xf>
    <xf numFmtId="0" fontId="4" fillId="0" borderId="28" xfId="4" applyFont="1" applyFill="1" applyBorder="1" applyAlignment="1">
      <alignment horizontal="center"/>
    </xf>
    <xf numFmtId="0" fontId="5" fillId="0" borderId="17" xfId="4" applyFont="1" applyFill="1" applyBorder="1" applyAlignment="1">
      <alignment horizontal="center"/>
    </xf>
    <xf numFmtId="0" fontId="5" fillId="0" borderId="18" xfId="4" applyFont="1" applyFill="1" applyBorder="1" applyAlignment="1">
      <alignment horizontal="center"/>
    </xf>
    <xf numFmtId="0" fontId="5" fillId="0" borderId="19" xfId="4" applyFont="1" applyFill="1" applyBorder="1" applyAlignment="1">
      <alignment horizontal="center"/>
    </xf>
    <xf numFmtId="0" fontId="4" fillId="0" borderId="27" xfId="3" applyFont="1" applyFill="1" applyBorder="1" applyAlignment="1">
      <alignment horizontal="right"/>
    </xf>
    <xf numFmtId="0" fontId="4" fillId="0" borderId="16" xfId="3" applyFont="1" applyFill="1" applyBorder="1" applyAlignment="1">
      <alignment horizontal="right"/>
    </xf>
    <xf numFmtId="1" fontId="5" fillId="0" borderId="38" xfId="7" applyNumberFormat="1" applyFont="1" applyFill="1" applyBorder="1" applyAlignment="1">
      <alignment horizontal="center" vertical="center"/>
    </xf>
    <xf numFmtId="1" fontId="5" fillId="0" borderId="0" xfId="7" applyNumberFormat="1" applyFont="1" applyFill="1" applyBorder="1" applyAlignment="1">
      <alignment horizontal="center" vertical="center"/>
    </xf>
    <xf numFmtId="1" fontId="5" fillId="0" borderId="39" xfId="7" applyNumberFormat="1" applyFont="1" applyFill="1" applyBorder="1" applyAlignment="1">
      <alignment horizontal="center" vertical="center"/>
    </xf>
    <xf numFmtId="0" fontId="4" fillId="0" borderId="20" xfId="5" applyNumberFormat="1" applyFont="1" applyFill="1" applyBorder="1" applyAlignment="1" applyProtection="1">
      <alignment horizontal="center"/>
      <protection locked="0"/>
    </xf>
    <xf numFmtId="0" fontId="4" fillId="0" borderId="21" xfId="5" applyNumberFormat="1" applyFont="1" applyFill="1" applyBorder="1" applyAlignment="1" applyProtection="1">
      <alignment horizontal="center"/>
      <protection locked="0"/>
    </xf>
    <xf numFmtId="0" fontId="4" fillId="0" borderId="22" xfId="5" applyNumberFormat="1" applyFont="1" applyFill="1" applyBorder="1" applyAlignment="1" applyProtection="1">
      <alignment horizontal="center"/>
      <protection locked="0"/>
    </xf>
    <xf numFmtId="2" fontId="4" fillId="0" borderId="44" xfId="3" applyNumberFormat="1" applyFont="1" applyFill="1" applyBorder="1" applyAlignment="1">
      <alignment horizontal="center"/>
    </xf>
    <xf numFmtId="2" fontId="4" fillId="0" borderId="56" xfId="3" applyNumberFormat="1" applyFont="1" applyFill="1" applyBorder="1" applyAlignment="1">
      <alignment horizontal="center"/>
    </xf>
    <xf numFmtId="2" fontId="4" fillId="0" borderId="45" xfId="3" applyNumberFormat="1" applyFont="1" applyFill="1" applyBorder="1" applyAlignment="1">
      <alignment horizontal="center"/>
    </xf>
    <xf numFmtId="2" fontId="4" fillId="0" borderId="33" xfId="3" applyNumberFormat="1" applyFont="1" applyFill="1" applyBorder="1" applyAlignment="1">
      <alignment horizontal="center"/>
    </xf>
    <xf numFmtId="2" fontId="4" fillId="0" borderId="49" xfId="3" applyNumberFormat="1" applyFont="1" applyFill="1" applyBorder="1" applyAlignment="1">
      <alignment horizontal="center"/>
    </xf>
    <xf numFmtId="2" fontId="4" fillId="0" borderId="34" xfId="3" applyNumberFormat="1" applyFont="1" applyFill="1" applyBorder="1" applyAlignment="1">
      <alignment horizontal="center"/>
    </xf>
    <xf numFmtId="0" fontId="13" fillId="0" borderId="0" xfId="3" applyFont="1" applyFill="1" applyBorder="1" applyAlignment="1">
      <alignment horizontal="center"/>
    </xf>
    <xf numFmtId="14" fontId="13" fillId="0" borderId="52" xfId="4" applyNumberFormat="1" applyFont="1" applyFill="1" applyBorder="1" applyAlignment="1" applyProtection="1">
      <alignment horizontal="center"/>
      <protection locked="0"/>
    </xf>
    <xf numFmtId="14" fontId="16" fillId="0" borderId="0" xfId="4" applyNumberFormat="1" applyFont="1" applyFill="1" applyBorder="1" applyAlignment="1" applyProtection="1">
      <alignment horizontal="center"/>
      <protection locked="0"/>
    </xf>
    <xf numFmtId="14" fontId="5" fillId="0" borderId="0" xfId="4" applyNumberFormat="1" applyFont="1" applyFill="1" applyBorder="1" applyAlignment="1" applyProtection="1">
      <alignment horizontal="center"/>
      <protection locked="0"/>
    </xf>
    <xf numFmtId="0" fontId="4" fillId="0" borderId="0" xfId="3" applyFont="1" applyFill="1" applyBorder="1" applyAlignment="1">
      <alignment horizontal="center" vertical="center"/>
    </xf>
    <xf numFmtId="0" fontId="4" fillId="0" borderId="38" xfId="3" applyFont="1" applyFill="1" applyBorder="1" applyAlignment="1">
      <alignment horizontal="center"/>
    </xf>
    <xf numFmtId="0" fontId="4" fillId="0" borderId="39" xfId="3" applyFont="1" applyFill="1" applyBorder="1" applyAlignment="1">
      <alignment horizontal="center"/>
    </xf>
    <xf numFmtId="0" fontId="4" fillId="0" borderId="54" xfId="3" applyFont="1" applyFill="1" applyBorder="1" applyAlignment="1">
      <alignment horizontal="left"/>
    </xf>
    <xf numFmtId="0" fontId="4" fillId="0" borderId="2" xfId="3" applyFont="1" applyFill="1" applyBorder="1" applyAlignment="1">
      <alignment horizontal="left"/>
    </xf>
    <xf numFmtId="0" fontId="4" fillId="0" borderId="67" xfId="3" applyFont="1" applyFill="1" applyBorder="1" applyAlignment="1">
      <alignment horizontal="left"/>
    </xf>
    <xf numFmtId="0" fontId="4" fillId="0" borderId="46" xfId="4" applyFont="1" applyFill="1" applyBorder="1" applyAlignment="1">
      <alignment horizontal="left"/>
    </xf>
    <xf numFmtId="0" fontId="4" fillId="0" borderId="60" xfId="4" applyFont="1" applyFill="1" applyBorder="1" applyAlignment="1">
      <alignment horizontal="left"/>
    </xf>
    <xf numFmtId="2" fontId="4" fillId="0" borderId="2" xfId="3" applyNumberFormat="1" applyFont="1" applyFill="1" applyBorder="1" applyAlignment="1">
      <alignment horizontal="center"/>
    </xf>
    <xf numFmtId="2" fontId="4" fillId="0" borderId="1" xfId="3" applyNumberFormat="1" applyFont="1" applyFill="1" applyBorder="1" applyAlignment="1">
      <alignment horizontal="center"/>
    </xf>
    <xf numFmtId="2" fontId="4" fillId="0" borderId="3" xfId="3" applyNumberFormat="1" applyFont="1" applyFill="1" applyBorder="1" applyAlignment="1">
      <alignment horizontal="center"/>
    </xf>
    <xf numFmtId="0" fontId="4" fillId="0" borderId="51" xfId="12" applyNumberFormat="1" applyFont="1" applyFill="1" applyBorder="1" applyAlignment="1">
      <alignment horizontal="center"/>
    </xf>
    <xf numFmtId="0" fontId="4" fillId="0" borderId="52" xfId="12" applyNumberFormat="1" applyFont="1" applyFill="1" applyBorder="1" applyAlignment="1">
      <alignment horizontal="center"/>
    </xf>
    <xf numFmtId="0" fontId="4" fillId="0" borderId="53" xfId="12" applyNumberFormat="1" applyFont="1" applyFill="1" applyBorder="1" applyAlignment="1">
      <alignment horizontal="center"/>
    </xf>
    <xf numFmtId="0" fontId="4" fillId="0" borderId="38" xfId="3" applyFont="1" applyFill="1" applyBorder="1" applyAlignment="1">
      <alignment horizontal="center" vertical="center" wrapText="1"/>
    </xf>
    <xf numFmtId="0" fontId="4" fillId="0" borderId="38" xfId="4" applyFont="1" applyFill="1" applyBorder="1" applyAlignment="1">
      <alignment horizontal="center" vertical="center"/>
    </xf>
    <xf numFmtId="0" fontId="4" fillId="0" borderId="39" xfId="4" applyFont="1" applyFill="1" applyBorder="1" applyAlignment="1">
      <alignment horizontal="center" vertical="center"/>
    </xf>
    <xf numFmtId="0" fontId="4" fillId="0" borderId="41" xfId="3" applyFont="1" applyFill="1" applyBorder="1" applyAlignment="1">
      <alignment horizontal="left"/>
    </xf>
    <xf numFmtId="0" fontId="4" fillId="0" borderId="43" xfId="3" applyFont="1" applyFill="1" applyBorder="1" applyAlignment="1">
      <alignment horizontal="left"/>
    </xf>
    <xf numFmtId="0" fontId="4" fillId="0" borderId="28" xfId="3" applyFont="1" applyFill="1" applyBorder="1" applyAlignment="1">
      <alignment horizontal="left"/>
    </xf>
    <xf numFmtId="0" fontId="4" fillId="0" borderId="17" xfId="12" applyNumberFormat="1" applyFont="1" applyFill="1" applyBorder="1" applyAlignment="1">
      <alignment horizontal="center"/>
    </xf>
    <xf numFmtId="0" fontId="4" fillId="0" borderId="18" xfId="12" applyNumberFormat="1" applyFont="1" applyFill="1" applyBorder="1" applyAlignment="1">
      <alignment horizontal="center"/>
    </xf>
    <xf numFmtId="0" fontId="4" fillId="0" borderId="19" xfId="12" applyNumberFormat="1" applyFont="1" applyFill="1" applyBorder="1" applyAlignment="1">
      <alignment horizontal="center"/>
    </xf>
    <xf numFmtId="0" fontId="4" fillId="0" borderId="21" xfId="3" applyFont="1" applyFill="1" applyBorder="1" applyAlignment="1">
      <alignment horizontal="left"/>
    </xf>
    <xf numFmtId="0" fontId="4" fillId="0" borderId="22" xfId="3" applyFont="1" applyFill="1" applyBorder="1" applyAlignment="1">
      <alignment horizontal="left"/>
    </xf>
    <xf numFmtId="0" fontId="4" fillId="0" borderId="42" xfId="3" applyFont="1" applyFill="1" applyBorder="1" applyAlignment="1">
      <alignment horizontal="left"/>
    </xf>
    <xf numFmtId="0" fontId="4" fillId="0" borderId="60" xfId="3" applyFont="1" applyFill="1" applyBorder="1" applyAlignment="1">
      <alignment horizontal="left"/>
    </xf>
    <xf numFmtId="0" fontId="4" fillId="0" borderId="5" xfId="3" applyFont="1" applyFill="1" applyBorder="1" applyAlignment="1">
      <alignment horizontal="left"/>
    </xf>
    <xf numFmtId="0" fontId="4" fillId="0" borderId="6" xfId="3" applyFont="1" applyFill="1" applyBorder="1" applyAlignment="1">
      <alignment horizontal="left"/>
    </xf>
  </cellXfs>
  <cellStyles count="13">
    <cellStyle name="Обычный" xfId="0" builtinId="0"/>
    <cellStyle name="Обычный 2" xfId="1"/>
    <cellStyle name="Обычный 2 2" xfId="12"/>
    <cellStyle name="Обычный 2 5" xfId="11"/>
    <cellStyle name="Обычный 3 2" xfId="6"/>
    <cellStyle name="Обычный_2-4.КЗ по ПС ХМРЭС" xfId="10"/>
    <cellStyle name="Обычный_Замеры по ПС Правдинского РЭС" xfId="8"/>
    <cellStyle name="Обычный_КЗ по потребительским ПС" xfId="4"/>
    <cellStyle name="Обычный_КЗ по ПС ХМРЭС" xfId="7"/>
    <cellStyle name="Обычный_отчёт  ЗМБ" xfId="3"/>
    <cellStyle name="Обычный_ПрБЭО замеры" xfId="5"/>
    <cellStyle name="Обычный_Проба Водозабор" xfId="9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95</xdr:row>
      <xdr:rowOff>66675</xdr:rowOff>
    </xdr:from>
    <xdr:to>
      <xdr:col>4</xdr:col>
      <xdr:colOff>85725</xdr:colOff>
      <xdr:row>95</xdr:row>
      <xdr:rowOff>104775</xdr:rowOff>
    </xdr:to>
    <xdr:sp macro="" textlink="">
      <xdr:nvSpPr>
        <xdr:cNvPr id="2" name="Объект 5"/>
        <xdr:cNvSpPr>
          <a:spLocks/>
        </xdr:cNvSpPr>
      </xdr:nvSpPr>
      <xdr:spPr bwMode="auto">
        <a:xfrm>
          <a:off x="2362200" y="1052512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57150</xdr:colOff>
      <xdr:row>95</xdr:row>
      <xdr:rowOff>66675</xdr:rowOff>
    </xdr:from>
    <xdr:to>
      <xdr:col>5</xdr:col>
      <xdr:colOff>123825</xdr:colOff>
      <xdr:row>95</xdr:row>
      <xdr:rowOff>104775</xdr:rowOff>
    </xdr:to>
    <xdr:sp macro="" textlink="">
      <xdr:nvSpPr>
        <xdr:cNvPr id="3" name="Объект 7"/>
        <xdr:cNvSpPr>
          <a:spLocks/>
        </xdr:cNvSpPr>
      </xdr:nvSpPr>
      <xdr:spPr bwMode="auto">
        <a:xfrm>
          <a:off x="2790825" y="1052512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96</xdr:row>
      <xdr:rowOff>66675</xdr:rowOff>
    </xdr:from>
    <xdr:to>
      <xdr:col>4</xdr:col>
      <xdr:colOff>104775</xdr:colOff>
      <xdr:row>96</xdr:row>
      <xdr:rowOff>104775</xdr:rowOff>
    </xdr:to>
    <xdr:sp macro="" textlink="">
      <xdr:nvSpPr>
        <xdr:cNvPr id="4" name="Объект 8"/>
        <xdr:cNvSpPr>
          <a:spLocks/>
        </xdr:cNvSpPr>
      </xdr:nvSpPr>
      <xdr:spPr bwMode="auto">
        <a:xfrm>
          <a:off x="2381250" y="1052512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96</xdr:row>
      <xdr:rowOff>57150</xdr:rowOff>
    </xdr:from>
    <xdr:to>
      <xdr:col>5</xdr:col>
      <xdr:colOff>152400</xdr:colOff>
      <xdr:row>96</xdr:row>
      <xdr:rowOff>95250</xdr:rowOff>
    </xdr:to>
    <xdr:sp macro="" textlink="">
      <xdr:nvSpPr>
        <xdr:cNvPr id="5" name="Объект 8"/>
        <xdr:cNvSpPr>
          <a:spLocks/>
        </xdr:cNvSpPr>
      </xdr:nvSpPr>
      <xdr:spPr bwMode="auto">
        <a:xfrm>
          <a:off x="2819400" y="1052512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19050</xdr:colOff>
      <xdr:row>100</xdr:row>
      <xdr:rowOff>66675</xdr:rowOff>
    </xdr:from>
    <xdr:to>
      <xdr:col>4</xdr:col>
      <xdr:colOff>85725</xdr:colOff>
      <xdr:row>100</xdr:row>
      <xdr:rowOff>104775</xdr:rowOff>
    </xdr:to>
    <xdr:sp macro="" textlink="">
      <xdr:nvSpPr>
        <xdr:cNvPr id="6" name="Объект 5"/>
        <xdr:cNvSpPr>
          <a:spLocks/>
        </xdr:cNvSpPr>
      </xdr:nvSpPr>
      <xdr:spPr bwMode="auto">
        <a:xfrm>
          <a:off x="2362200" y="1052512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57150</xdr:colOff>
      <xdr:row>100</xdr:row>
      <xdr:rowOff>66675</xdr:rowOff>
    </xdr:from>
    <xdr:to>
      <xdr:col>5</xdr:col>
      <xdr:colOff>123825</xdr:colOff>
      <xdr:row>100</xdr:row>
      <xdr:rowOff>104775</xdr:rowOff>
    </xdr:to>
    <xdr:sp macro="" textlink="">
      <xdr:nvSpPr>
        <xdr:cNvPr id="7" name="Объект 7"/>
        <xdr:cNvSpPr>
          <a:spLocks/>
        </xdr:cNvSpPr>
      </xdr:nvSpPr>
      <xdr:spPr bwMode="auto">
        <a:xfrm>
          <a:off x="2790825" y="1052512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101</xdr:row>
      <xdr:rowOff>66675</xdr:rowOff>
    </xdr:from>
    <xdr:to>
      <xdr:col>4</xdr:col>
      <xdr:colOff>104775</xdr:colOff>
      <xdr:row>101</xdr:row>
      <xdr:rowOff>104775</xdr:rowOff>
    </xdr:to>
    <xdr:sp macro="" textlink="">
      <xdr:nvSpPr>
        <xdr:cNvPr id="8" name="Объект 8"/>
        <xdr:cNvSpPr>
          <a:spLocks/>
        </xdr:cNvSpPr>
      </xdr:nvSpPr>
      <xdr:spPr bwMode="auto">
        <a:xfrm>
          <a:off x="2381250" y="1052512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101</xdr:row>
      <xdr:rowOff>57150</xdr:rowOff>
    </xdr:from>
    <xdr:to>
      <xdr:col>5</xdr:col>
      <xdr:colOff>152400</xdr:colOff>
      <xdr:row>101</xdr:row>
      <xdr:rowOff>95250</xdr:rowOff>
    </xdr:to>
    <xdr:sp macro="" textlink="">
      <xdr:nvSpPr>
        <xdr:cNvPr id="9" name="Объект 8"/>
        <xdr:cNvSpPr>
          <a:spLocks/>
        </xdr:cNvSpPr>
      </xdr:nvSpPr>
      <xdr:spPr bwMode="auto">
        <a:xfrm>
          <a:off x="2819400" y="1052512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47</xdr:row>
      <xdr:rowOff>76200</xdr:rowOff>
    </xdr:from>
    <xdr:to>
      <xdr:col>3</xdr:col>
      <xdr:colOff>85725</xdr:colOff>
      <xdr:row>47</xdr:row>
      <xdr:rowOff>123825</xdr:rowOff>
    </xdr:to>
    <xdr:sp macro="" textlink="">
      <xdr:nvSpPr>
        <xdr:cNvPr id="2" name="Объект 5"/>
        <xdr:cNvSpPr>
          <a:spLocks/>
        </xdr:cNvSpPr>
      </xdr:nvSpPr>
      <xdr:spPr bwMode="auto">
        <a:xfrm>
          <a:off x="1390650" y="803910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47</xdr:row>
      <xdr:rowOff>76200</xdr:rowOff>
    </xdr:from>
    <xdr:to>
      <xdr:col>4</xdr:col>
      <xdr:colOff>123825</xdr:colOff>
      <xdr:row>47</xdr:row>
      <xdr:rowOff>123825</xdr:rowOff>
    </xdr:to>
    <xdr:sp macro="" textlink="">
      <xdr:nvSpPr>
        <xdr:cNvPr id="3" name="Объект 7"/>
        <xdr:cNvSpPr>
          <a:spLocks/>
        </xdr:cNvSpPr>
      </xdr:nvSpPr>
      <xdr:spPr bwMode="auto">
        <a:xfrm>
          <a:off x="1914525" y="803910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48</xdr:row>
      <xdr:rowOff>76200</xdr:rowOff>
    </xdr:from>
    <xdr:to>
      <xdr:col>3</xdr:col>
      <xdr:colOff>104775</xdr:colOff>
      <xdr:row>48</xdr:row>
      <xdr:rowOff>123825</xdr:rowOff>
    </xdr:to>
    <xdr:sp macro="" textlink="">
      <xdr:nvSpPr>
        <xdr:cNvPr id="4" name="Объект 8"/>
        <xdr:cNvSpPr>
          <a:spLocks/>
        </xdr:cNvSpPr>
      </xdr:nvSpPr>
      <xdr:spPr bwMode="auto">
        <a:xfrm>
          <a:off x="1409700" y="822960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48</xdr:row>
      <xdr:rowOff>66675</xdr:rowOff>
    </xdr:from>
    <xdr:to>
      <xdr:col>4</xdr:col>
      <xdr:colOff>76200</xdr:colOff>
      <xdr:row>48</xdr:row>
      <xdr:rowOff>114300</xdr:rowOff>
    </xdr:to>
    <xdr:sp macro="" textlink="">
      <xdr:nvSpPr>
        <xdr:cNvPr id="5" name="Объект 8"/>
        <xdr:cNvSpPr>
          <a:spLocks/>
        </xdr:cNvSpPr>
      </xdr:nvSpPr>
      <xdr:spPr bwMode="auto">
        <a:xfrm>
          <a:off x="1866900" y="82200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52</xdr:row>
      <xdr:rowOff>76200</xdr:rowOff>
    </xdr:from>
    <xdr:to>
      <xdr:col>3</xdr:col>
      <xdr:colOff>85725</xdr:colOff>
      <xdr:row>52</xdr:row>
      <xdr:rowOff>123825</xdr:rowOff>
    </xdr:to>
    <xdr:sp macro="" textlink="">
      <xdr:nvSpPr>
        <xdr:cNvPr id="6" name="Объект 5"/>
        <xdr:cNvSpPr>
          <a:spLocks/>
        </xdr:cNvSpPr>
      </xdr:nvSpPr>
      <xdr:spPr bwMode="auto">
        <a:xfrm>
          <a:off x="1390650" y="89630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52</xdr:row>
      <xdr:rowOff>76200</xdr:rowOff>
    </xdr:from>
    <xdr:to>
      <xdr:col>4</xdr:col>
      <xdr:colOff>123825</xdr:colOff>
      <xdr:row>52</xdr:row>
      <xdr:rowOff>123825</xdr:rowOff>
    </xdr:to>
    <xdr:sp macro="" textlink="">
      <xdr:nvSpPr>
        <xdr:cNvPr id="7" name="Объект 7"/>
        <xdr:cNvSpPr>
          <a:spLocks/>
        </xdr:cNvSpPr>
      </xdr:nvSpPr>
      <xdr:spPr bwMode="auto">
        <a:xfrm>
          <a:off x="1914525" y="89630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53</xdr:row>
      <xdr:rowOff>76200</xdr:rowOff>
    </xdr:from>
    <xdr:to>
      <xdr:col>3</xdr:col>
      <xdr:colOff>104775</xdr:colOff>
      <xdr:row>53</xdr:row>
      <xdr:rowOff>123825</xdr:rowOff>
    </xdr:to>
    <xdr:sp macro="" textlink="">
      <xdr:nvSpPr>
        <xdr:cNvPr id="8" name="Объект 8"/>
        <xdr:cNvSpPr>
          <a:spLocks/>
        </xdr:cNvSpPr>
      </xdr:nvSpPr>
      <xdr:spPr bwMode="auto">
        <a:xfrm>
          <a:off x="1409700" y="91249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19050</xdr:colOff>
      <xdr:row>53</xdr:row>
      <xdr:rowOff>66675</xdr:rowOff>
    </xdr:from>
    <xdr:to>
      <xdr:col>4</xdr:col>
      <xdr:colOff>85725</xdr:colOff>
      <xdr:row>53</xdr:row>
      <xdr:rowOff>114300</xdr:rowOff>
    </xdr:to>
    <xdr:sp macro="" textlink="">
      <xdr:nvSpPr>
        <xdr:cNvPr id="9" name="Объект 8"/>
        <xdr:cNvSpPr>
          <a:spLocks/>
        </xdr:cNvSpPr>
      </xdr:nvSpPr>
      <xdr:spPr bwMode="auto">
        <a:xfrm>
          <a:off x="1876425" y="91154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59</xdr:row>
      <xdr:rowOff>0</xdr:rowOff>
    </xdr:from>
    <xdr:to>
      <xdr:col>3</xdr:col>
      <xdr:colOff>85725</xdr:colOff>
      <xdr:row>59</xdr:row>
      <xdr:rowOff>0</xdr:rowOff>
    </xdr:to>
    <xdr:sp macro="" textlink="">
      <xdr:nvSpPr>
        <xdr:cNvPr id="10" name="Объект 5"/>
        <xdr:cNvSpPr>
          <a:spLocks/>
        </xdr:cNvSpPr>
      </xdr:nvSpPr>
      <xdr:spPr bwMode="auto">
        <a:xfrm>
          <a:off x="1390650" y="1007745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59</xdr:row>
      <xdr:rowOff>0</xdr:rowOff>
    </xdr:from>
    <xdr:to>
      <xdr:col>4</xdr:col>
      <xdr:colOff>123825</xdr:colOff>
      <xdr:row>59</xdr:row>
      <xdr:rowOff>0</xdr:rowOff>
    </xdr:to>
    <xdr:sp macro="" textlink="">
      <xdr:nvSpPr>
        <xdr:cNvPr id="11" name="Объект 7"/>
        <xdr:cNvSpPr>
          <a:spLocks/>
        </xdr:cNvSpPr>
      </xdr:nvSpPr>
      <xdr:spPr bwMode="auto">
        <a:xfrm>
          <a:off x="1914525" y="1007745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59</xdr:row>
      <xdr:rowOff>0</xdr:rowOff>
    </xdr:from>
    <xdr:to>
      <xdr:col>3</xdr:col>
      <xdr:colOff>104775</xdr:colOff>
      <xdr:row>59</xdr:row>
      <xdr:rowOff>0</xdr:rowOff>
    </xdr:to>
    <xdr:sp macro="" textlink="">
      <xdr:nvSpPr>
        <xdr:cNvPr id="12" name="Объект 8"/>
        <xdr:cNvSpPr>
          <a:spLocks/>
        </xdr:cNvSpPr>
      </xdr:nvSpPr>
      <xdr:spPr bwMode="auto">
        <a:xfrm>
          <a:off x="1409700" y="1007745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59</xdr:row>
      <xdr:rowOff>0</xdr:rowOff>
    </xdr:from>
    <xdr:to>
      <xdr:col>4</xdr:col>
      <xdr:colOff>152400</xdr:colOff>
      <xdr:row>59</xdr:row>
      <xdr:rowOff>0</xdr:rowOff>
    </xdr:to>
    <xdr:sp macro="" textlink="">
      <xdr:nvSpPr>
        <xdr:cNvPr id="13" name="Объект 8"/>
        <xdr:cNvSpPr>
          <a:spLocks/>
        </xdr:cNvSpPr>
      </xdr:nvSpPr>
      <xdr:spPr bwMode="auto">
        <a:xfrm>
          <a:off x="1943100" y="1007745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40</xdr:row>
      <xdr:rowOff>104775</xdr:rowOff>
    </xdr:from>
    <xdr:to>
      <xdr:col>3</xdr:col>
      <xdr:colOff>85725</xdr:colOff>
      <xdr:row>40</xdr:row>
      <xdr:rowOff>152400</xdr:rowOff>
    </xdr:to>
    <xdr:sp macro="" textlink="">
      <xdr:nvSpPr>
        <xdr:cNvPr id="2" name="Объект 5"/>
        <xdr:cNvSpPr>
          <a:spLocks/>
        </xdr:cNvSpPr>
      </xdr:nvSpPr>
      <xdr:spPr bwMode="auto">
        <a:xfrm>
          <a:off x="2600325" y="838200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600075</xdr:colOff>
      <xdr:row>40</xdr:row>
      <xdr:rowOff>104775</xdr:rowOff>
    </xdr:from>
    <xdr:to>
      <xdr:col>3</xdr:col>
      <xdr:colOff>666750</xdr:colOff>
      <xdr:row>40</xdr:row>
      <xdr:rowOff>152400</xdr:rowOff>
    </xdr:to>
    <xdr:sp macro="" textlink="">
      <xdr:nvSpPr>
        <xdr:cNvPr id="3" name="Объект 7"/>
        <xdr:cNvSpPr>
          <a:spLocks/>
        </xdr:cNvSpPr>
      </xdr:nvSpPr>
      <xdr:spPr bwMode="auto">
        <a:xfrm>
          <a:off x="3181350" y="838200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41</xdr:row>
      <xdr:rowOff>114300</xdr:rowOff>
    </xdr:from>
    <xdr:to>
      <xdr:col>3</xdr:col>
      <xdr:colOff>85725</xdr:colOff>
      <xdr:row>41</xdr:row>
      <xdr:rowOff>161925</xdr:rowOff>
    </xdr:to>
    <xdr:sp macro="" textlink="">
      <xdr:nvSpPr>
        <xdr:cNvPr id="4" name="Объект 8"/>
        <xdr:cNvSpPr>
          <a:spLocks/>
        </xdr:cNvSpPr>
      </xdr:nvSpPr>
      <xdr:spPr bwMode="auto">
        <a:xfrm>
          <a:off x="2600325" y="838200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609600</xdr:colOff>
      <xdr:row>41</xdr:row>
      <xdr:rowOff>114300</xdr:rowOff>
    </xdr:from>
    <xdr:to>
      <xdr:col>3</xdr:col>
      <xdr:colOff>676275</xdr:colOff>
      <xdr:row>41</xdr:row>
      <xdr:rowOff>161925</xdr:rowOff>
    </xdr:to>
    <xdr:sp macro="" textlink="">
      <xdr:nvSpPr>
        <xdr:cNvPr id="5" name="Объект 8"/>
        <xdr:cNvSpPr>
          <a:spLocks/>
        </xdr:cNvSpPr>
      </xdr:nvSpPr>
      <xdr:spPr bwMode="auto">
        <a:xfrm>
          <a:off x="3190875" y="838200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45</xdr:row>
      <xdr:rowOff>76200</xdr:rowOff>
    </xdr:from>
    <xdr:to>
      <xdr:col>3</xdr:col>
      <xdr:colOff>85725</xdr:colOff>
      <xdr:row>45</xdr:row>
      <xdr:rowOff>123825</xdr:rowOff>
    </xdr:to>
    <xdr:sp macro="" textlink="">
      <xdr:nvSpPr>
        <xdr:cNvPr id="6" name="Объект 5"/>
        <xdr:cNvSpPr>
          <a:spLocks/>
        </xdr:cNvSpPr>
      </xdr:nvSpPr>
      <xdr:spPr bwMode="auto">
        <a:xfrm>
          <a:off x="2600325" y="838200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600075</xdr:colOff>
      <xdr:row>45</xdr:row>
      <xdr:rowOff>104775</xdr:rowOff>
    </xdr:from>
    <xdr:to>
      <xdr:col>3</xdr:col>
      <xdr:colOff>666750</xdr:colOff>
      <xdr:row>45</xdr:row>
      <xdr:rowOff>152400</xdr:rowOff>
    </xdr:to>
    <xdr:sp macro="" textlink="">
      <xdr:nvSpPr>
        <xdr:cNvPr id="7" name="Объект 7"/>
        <xdr:cNvSpPr>
          <a:spLocks/>
        </xdr:cNvSpPr>
      </xdr:nvSpPr>
      <xdr:spPr bwMode="auto">
        <a:xfrm>
          <a:off x="3181350" y="838200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46</xdr:row>
      <xdr:rowOff>76200</xdr:rowOff>
    </xdr:from>
    <xdr:to>
      <xdr:col>3</xdr:col>
      <xdr:colOff>104775</xdr:colOff>
      <xdr:row>46</xdr:row>
      <xdr:rowOff>123825</xdr:rowOff>
    </xdr:to>
    <xdr:sp macro="" textlink="">
      <xdr:nvSpPr>
        <xdr:cNvPr id="8" name="Объект 8"/>
        <xdr:cNvSpPr>
          <a:spLocks/>
        </xdr:cNvSpPr>
      </xdr:nvSpPr>
      <xdr:spPr bwMode="auto">
        <a:xfrm>
          <a:off x="2619375" y="838200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619125</xdr:colOff>
      <xdr:row>46</xdr:row>
      <xdr:rowOff>95250</xdr:rowOff>
    </xdr:from>
    <xdr:to>
      <xdr:col>3</xdr:col>
      <xdr:colOff>685800</xdr:colOff>
      <xdr:row>46</xdr:row>
      <xdr:rowOff>142875</xdr:rowOff>
    </xdr:to>
    <xdr:sp macro="" textlink="">
      <xdr:nvSpPr>
        <xdr:cNvPr id="9" name="Объект 8"/>
        <xdr:cNvSpPr>
          <a:spLocks/>
        </xdr:cNvSpPr>
      </xdr:nvSpPr>
      <xdr:spPr bwMode="auto">
        <a:xfrm>
          <a:off x="3200400" y="838200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52</xdr:row>
      <xdr:rowOff>0</xdr:rowOff>
    </xdr:from>
    <xdr:to>
      <xdr:col>3</xdr:col>
      <xdr:colOff>85725</xdr:colOff>
      <xdr:row>52</xdr:row>
      <xdr:rowOff>0</xdr:rowOff>
    </xdr:to>
    <xdr:sp macro="" textlink="">
      <xdr:nvSpPr>
        <xdr:cNvPr id="10" name="Объект 5"/>
        <xdr:cNvSpPr>
          <a:spLocks/>
        </xdr:cNvSpPr>
      </xdr:nvSpPr>
      <xdr:spPr bwMode="auto">
        <a:xfrm>
          <a:off x="2600325" y="838200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52</xdr:row>
      <xdr:rowOff>0</xdr:rowOff>
    </xdr:from>
    <xdr:to>
      <xdr:col>4</xdr:col>
      <xdr:colOff>123825</xdr:colOff>
      <xdr:row>52</xdr:row>
      <xdr:rowOff>0</xdr:rowOff>
    </xdr:to>
    <xdr:sp macro="" textlink="">
      <xdr:nvSpPr>
        <xdr:cNvPr id="11" name="Объект 7"/>
        <xdr:cNvSpPr>
          <a:spLocks/>
        </xdr:cNvSpPr>
      </xdr:nvSpPr>
      <xdr:spPr bwMode="auto">
        <a:xfrm>
          <a:off x="3448050" y="838200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52</xdr:row>
      <xdr:rowOff>0</xdr:rowOff>
    </xdr:from>
    <xdr:to>
      <xdr:col>3</xdr:col>
      <xdr:colOff>104775</xdr:colOff>
      <xdr:row>52</xdr:row>
      <xdr:rowOff>0</xdr:rowOff>
    </xdr:to>
    <xdr:sp macro="" textlink="">
      <xdr:nvSpPr>
        <xdr:cNvPr id="12" name="Объект 8"/>
        <xdr:cNvSpPr>
          <a:spLocks/>
        </xdr:cNvSpPr>
      </xdr:nvSpPr>
      <xdr:spPr bwMode="auto">
        <a:xfrm>
          <a:off x="2619375" y="838200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52</xdr:row>
      <xdr:rowOff>0</xdr:rowOff>
    </xdr:from>
    <xdr:to>
      <xdr:col>4</xdr:col>
      <xdr:colOff>152400</xdr:colOff>
      <xdr:row>52</xdr:row>
      <xdr:rowOff>0</xdr:rowOff>
    </xdr:to>
    <xdr:sp macro="" textlink="">
      <xdr:nvSpPr>
        <xdr:cNvPr id="13" name="Объект 8"/>
        <xdr:cNvSpPr>
          <a:spLocks/>
        </xdr:cNvSpPr>
      </xdr:nvSpPr>
      <xdr:spPr bwMode="auto">
        <a:xfrm>
          <a:off x="3476625" y="838200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90</xdr:row>
      <xdr:rowOff>104775</xdr:rowOff>
    </xdr:from>
    <xdr:to>
      <xdr:col>3</xdr:col>
      <xdr:colOff>85725</xdr:colOff>
      <xdr:row>90</xdr:row>
      <xdr:rowOff>152400</xdr:rowOff>
    </xdr:to>
    <xdr:sp macro="" textlink="">
      <xdr:nvSpPr>
        <xdr:cNvPr id="14" name="Объект 5"/>
        <xdr:cNvSpPr>
          <a:spLocks/>
        </xdr:cNvSpPr>
      </xdr:nvSpPr>
      <xdr:spPr bwMode="auto">
        <a:xfrm>
          <a:off x="2600325" y="1584007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600075</xdr:colOff>
      <xdr:row>90</xdr:row>
      <xdr:rowOff>104775</xdr:rowOff>
    </xdr:from>
    <xdr:to>
      <xdr:col>3</xdr:col>
      <xdr:colOff>666750</xdr:colOff>
      <xdr:row>90</xdr:row>
      <xdr:rowOff>152400</xdr:rowOff>
    </xdr:to>
    <xdr:sp macro="" textlink="">
      <xdr:nvSpPr>
        <xdr:cNvPr id="15" name="Объект 7"/>
        <xdr:cNvSpPr>
          <a:spLocks/>
        </xdr:cNvSpPr>
      </xdr:nvSpPr>
      <xdr:spPr bwMode="auto">
        <a:xfrm>
          <a:off x="3181350" y="1584007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91</xdr:row>
      <xdr:rowOff>114300</xdr:rowOff>
    </xdr:from>
    <xdr:to>
      <xdr:col>3</xdr:col>
      <xdr:colOff>85725</xdr:colOff>
      <xdr:row>91</xdr:row>
      <xdr:rowOff>161925</xdr:rowOff>
    </xdr:to>
    <xdr:sp macro="" textlink="">
      <xdr:nvSpPr>
        <xdr:cNvPr id="16" name="Объект 8"/>
        <xdr:cNvSpPr>
          <a:spLocks/>
        </xdr:cNvSpPr>
      </xdr:nvSpPr>
      <xdr:spPr bwMode="auto">
        <a:xfrm>
          <a:off x="2600325" y="1584007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609600</xdr:colOff>
      <xdr:row>91</xdr:row>
      <xdr:rowOff>114300</xdr:rowOff>
    </xdr:from>
    <xdr:to>
      <xdr:col>3</xdr:col>
      <xdr:colOff>676275</xdr:colOff>
      <xdr:row>91</xdr:row>
      <xdr:rowOff>161925</xdr:rowOff>
    </xdr:to>
    <xdr:sp macro="" textlink="">
      <xdr:nvSpPr>
        <xdr:cNvPr id="17" name="Объект 8"/>
        <xdr:cNvSpPr>
          <a:spLocks/>
        </xdr:cNvSpPr>
      </xdr:nvSpPr>
      <xdr:spPr bwMode="auto">
        <a:xfrm>
          <a:off x="3190875" y="1584007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95</xdr:row>
      <xdr:rowOff>76200</xdr:rowOff>
    </xdr:from>
    <xdr:to>
      <xdr:col>3</xdr:col>
      <xdr:colOff>85725</xdr:colOff>
      <xdr:row>95</xdr:row>
      <xdr:rowOff>123825</xdr:rowOff>
    </xdr:to>
    <xdr:sp macro="" textlink="">
      <xdr:nvSpPr>
        <xdr:cNvPr id="18" name="Объект 5"/>
        <xdr:cNvSpPr>
          <a:spLocks/>
        </xdr:cNvSpPr>
      </xdr:nvSpPr>
      <xdr:spPr bwMode="auto">
        <a:xfrm>
          <a:off x="2600325" y="1584007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600075</xdr:colOff>
      <xdr:row>95</xdr:row>
      <xdr:rowOff>104775</xdr:rowOff>
    </xdr:from>
    <xdr:to>
      <xdr:col>3</xdr:col>
      <xdr:colOff>666750</xdr:colOff>
      <xdr:row>95</xdr:row>
      <xdr:rowOff>152400</xdr:rowOff>
    </xdr:to>
    <xdr:sp macro="" textlink="">
      <xdr:nvSpPr>
        <xdr:cNvPr id="19" name="Объект 7"/>
        <xdr:cNvSpPr>
          <a:spLocks/>
        </xdr:cNvSpPr>
      </xdr:nvSpPr>
      <xdr:spPr bwMode="auto">
        <a:xfrm>
          <a:off x="3181350" y="1584007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96</xdr:row>
      <xdr:rowOff>76200</xdr:rowOff>
    </xdr:from>
    <xdr:to>
      <xdr:col>3</xdr:col>
      <xdr:colOff>104775</xdr:colOff>
      <xdr:row>96</xdr:row>
      <xdr:rowOff>123825</xdr:rowOff>
    </xdr:to>
    <xdr:sp macro="" textlink="">
      <xdr:nvSpPr>
        <xdr:cNvPr id="20" name="Объект 8"/>
        <xdr:cNvSpPr>
          <a:spLocks/>
        </xdr:cNvSpPr>
      </xdr:nvSpPr>
      <xdr:spPr bwMode="auto">
        <a:xfrm>
          <a:off x="2619375" y="1584007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619125</xdr:colOff>
      <xdr:row>96</xdr:row>
      <xdr:rowOff>95250</xdr:rowOff>
    </xdr:from>
    <xdr:to>
      <xdr:col>3</xdr:col>
      <xdr:colOff>685800</xdr:colOff>
      <xdr:row>96</xdr:row>
      <xdr:rowOff>142875</xdr:rowOff>
    </xdr:to>
    <xdr:sp macro="" textlink="">
      <xdr:nvSpPr>
        <xdr:cNvPr id="21" name="Объект 8"/>
        <xdr:cNvSpPr>
          <a:spLocks/>
        </xdr:cNvSpPr>
      </xdr:nvSpPr>
      <xdr:spPr bwMode="auto">
        <a:xfrm>
          <a:off x="3200400" y="1584007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102</xdr:row>
      <xdr:rowOff>0</xdr:rowOff>
    </xdr:from>
    <xdr:to>
      <xdr:col>3</xdr:col>
      <xdr:colOff>85725</xdr:colOff>
      <xdr:row>102</xdr:row>
      <xdr:rowOff>0</xdr:rowOff>
    </xdr:to>
    <xdr:sp macro="" textlink="">
      <xdr:nvSpPr>
        <xdr:cNvPr id="22" name="Объект 5"/>
        <xdr:cNvSpPr>
          <a:spLocks/>
        </xdr:cNvSpPr>
      </xdr:nvSpPr>
      <xdr:spPr bwMode="auto">
        <a:xfrm>
          <a:off x="2600325" y="1584007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102</xdr:row>
      <xdr:rowOff>0</xdr:rowOff>
    </xdr:from>
    <xdr:to>
      <xdr:col>4</xdr:col>
      <xdr:colOff>123825</xdr:colOff>
      <xdr:row>102</xdr:row>
      <xdr:rowOff>0</xdr:rowOff>
    </xdr:to>
    <xdr:sp macro="" textlink="">
      <xdr:nvSpPr>
        <xdr:cNvPr id="23" name="Объект 7"/>
        <xdr:cNvSpPr>
          <a:spLocks/>
        </xdr:cNvSpPr>
      </xdr:nvSpPr>
      <xdr:spPr bwMode="auto">
        <a:xfrm>
          <a:off x="3448050" y="1584007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102</xdr:row>
      <xdr:rowOff>0</xdr:rowOff>
    </xdr:from>
    <xdr:to>
      <xdr:col>3</xdr:col>
      <xdr:colOff>104775</xdr:colOff>
      <xdr:row>102</xdr:row>
      <xdr:rowOff>0</xdr:rowOff>
    </xdr:to>
    <xdr:sp macro="" textlink="">
      <xdr:nvSpPr>
        <xdr:cNvPr id="24" name="Объект 8"/>
        <xdr:cNvSpPr>
          <a:spLocks/>
        </xdr:cNvSpPr>
      </xdr:nvSpPr>
      <xdr:spPr bwMode="auto">
        <a:xfrm>
          <a:off x="2619375" y="1584007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102</xdr:row>
      <xdr:rowOff>0</xdr:rowOff>
    </xdr:from>
    <xdr:to>
      <xdr:col>4</xdr:col>
      <xdr:colOff>152400</xdr:colOff>
      <xdr:row>102</xdr:row>
      <xdr:rowOff>0</xdr:rowOff>
    </xdr:to>
    <xdr:sp macro="" textlink="">
      <xdr:nvSpPr>
        <xdr:cNvPr id="25" name="Объект 8"/>
        <xdr:cNvSpPr>
          <a:spLocks/>
        </xdr:cNvSpPr>
      </xdr:nvSpPr>
      <xdr:spPr bwMode="auto">
        <a:xfrm>
          <a:off x="3476625" y="1584007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59</xdr:row>
      <xdr:rowOff>104775</xdr:rowOff>
    </xdr:from>
    <xdr:to>
      <xdr:col>3</xdr:col>
      <xdr:colOff>85725</xdr:colOff>
      <xdr:row>59</xdr:row>
      <xdr:rowOff>152400</xdr:rowOff>
    </xdr:to>
    <xdr:sp macro="" textlink="">
      <xdr:nvSpPr>
        <xdr:cNvPr id="2" name="Объект 5"/>
        <xdr:cNvSpPr>
          <a:spLocks/>
        </xdr:cNvSpPr>
      </xdr:nvSpPr>
      <xdr:spPr bwMode="auto">
        <a:xfrm>
          <a:off x="2600325" y="1255395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600075</xdr:colOff>
      <xdr:row>59</xdr:row>
      <xdr:rowOff>104775</xdr:rowOff>
    </xdr:from>
    <xdr:to>
      <xdr:col>3</xdr:col>
      <xdr:colOff>666750</xdr:colOff>
      <xdr:row>59</xdr:row>
      <xdr:rowOff>152400</xdr:rowOff>
    </xdr:to>
    <xdr:sp macro="" textlink="">
      <xdr:nvSpPr>
        <xdr:cNvPr id="3" name="Объект 7"/>
        <xdr:cNvSpPr>
          <a:spLocks/>
        </xdr:cNvSpPr>
      </xdr:nvSpPr>
      <xdr:spPr bwMode="auto">
        <a:xfrm>
          <a:off x="3181350" y="1255395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60</xdr:row>
      <xdr:rowOff>114300</xdr:rowOff>
    </xdr:from>
    <xdr:to>
      <xdr:col>3</xdr:col>
      <xdr:colOff>85725</xdr:colOff>
      <xdr:row>60</xdr:row>
      <xdr:rowOff>161925</xdr:rowOff>
    </xdr:to>
    <xdr:sp macro="" textlink="">
      <xdr:nvSpPr>
        <xdr:cNvPr id="4" name="Объект 8"/>
        <xdr:cNvSpPr>
          <a:spLocks/>
        </xdr:cNvSpPr>
      </xdr:nvSpPr>
      <xdr:spPr bwMode="auto">
        <a:xfrm>
          <a:off x="2600325" y="1255395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609600</xdr:colOff>
      <xdr:row>60</xdr:row>
      <xdr:rowOff>114300</xdr:rowOff>
    </xdr:from>
    <xdr:to>
      <xdr:col>3</xdr:col>
      <xdr:colOff>676275</xdr:colOff>
      <xdr:row>60</xdr:row>
      <xdr:rowOff>161925</xdr:rowOff>
    </xdr:to>
    <xdr:sp macro="" textlink="">
      <xdr:nvSpPr>
        <xdr:cNvPr id="5" name="Объект 8"/>
        <xdr:cNvSpPr>
          <a:spLocks/>
        </xdr:cNvSpPr>
      </xdr:nvSpPr>
      <xdr:spPr bwMode="auto">
        <a:xfrm>
          <a:off x="3190875" y="1255395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64</xdr:row>
      <xdr:rowOff>76200</xdr:rowOff>
    </xdr:from>
    <xdr:to>
      <xdr:col>3</xdr:col>
      <xdr:colOff>85725</xdr:colOff>
      <xdr:row>64</xdr:row>
      <xdr:rowOff>123825</xdr:rowOff>
    </xdr:to>
    <xdr:sp macro="" textlink="">
      <xdr:nvSpPr>
        <xdr:cNvPr id="6" name="Объект 5"/>
        <xdr:cNvSpPr>
          <a:spLocks/>
        </xdr:cNvSpPr>
      </xdr:nvSpPr>
      <xdr:spPr bwMode="auto">
        <a:xfrm>
          <a:off x="2600325" y="1255395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600075</xdr:colOff>
      <xdr:row>64</xdr:row>
      <xdr:rowOff>104775</xdr:rowOff>
    </xdr:from>
    <xdr:to>
      <xdr:col>3</xdr:col>
      <xdr:colOff>666750</xdr:colOff>
      <xdr:row>64</xdr:row>
      <xdr:rowOff>152400</xdr:rowOff>
    </xdr:to>
    <xdr:sp macro="" textlink="">
      <xdr:nvSpPr>
        <xdr:cNvPr id="7" name="Объект 7"/>
        <xdr:cNvSpPr>
          <a:spLocks/>
        </xdr:cNvSpPr>
      </xdr:nvSpPr>
      <xdr:spPr bwMode="auto">
        <a:xfrm>
          <a:off x="3181350" y="1255395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65</xdr:row>
      <xdr:rowOff>76200</xdr:rowOff>
    </xdr:from>
    <xdr:to>
      <xdr:col>3</xdr:col>
      <xdr:colOff>104775</xdr:colOff>
      <xdr:row>65</xdr:row>
      <xdr:rowOff>123825</xdr:rowOff>
    </xdr:to>
    <xdr:sp macro="" textlink="">
      <xdr:nvSpPr>
        <xdr:cNvPr id="8" name="Объект 8"/>
        <xdr:cNvSpPr>
          <a:spLocks/>
        </xdr:cNvSpPr>
      </xdr:nvSpPr>
      <xdr:spPr bwMode="auto">
        <a:xfrm>
          <a:off x="2619375" y="1255395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619125</xdr:colOff>
      <xdr:row>65</xdr:row>
      <xdr:rowOff>95250</xdr:rowOff>
    </xdr:from>
    <xdr:to>
      <xdr:col>3</xdr:col>
      <xdr:colOff>685800</xdr:colOff>
      <xdr:row>65</xdr:row>
      <xdr:rowOff>142875</xdr:rowOff>
    </xdr:to>
    <xdr:sp macro="" textlink="">
      <xdr:nvSpPr>
        <xdr:cNvPr id="9" name="Объект 8"/>
        <xdr:cNvSpPr>
          <a:spLocks/>
        </xdr:cNvSpPr>
      </xdr:nvSpPr>
      <xdr:spPr bwMode="auto">
        <a:xfrm>
          <a:off x="3200400" y="1255395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71</xdr:row>
      <xdr:rowOff>0</xdr:rowOff>
    </xdr:from>
    <xdr:to>
      <xdr:col>3</xdr:col>
      <xdr:colOff>85725</xdr:colOff>
      <xdr:row>71</xdr:row>
      <xdr:rowOff>0</xdr:rowOff>
    </xdr:to>
    <xdr:sp macro="" textlink="">
      <xdr:nvSpPr>
        <xdr:cNvPr id="10" name="Объект 5"/>
        <xdr:cNvSpPr>
          <a:spLocks/>
        </xdr:cNvSpPr>
      </xdr:nvSpPr>
      <xdr:spPr bwMode="auto">
        <a:xfrm>
          <a:off x="2600325" y="1255395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71</xdr:row>
      <xdr:rowOff>0</xdr:rowOff>
    </xdr:from>
    <xdr:to>
      <xdr:col>4</xdr:col>
      <xdr:colOff>123825</xdr:colOff>
      <xdr:row>71</xdr:row>
      <xdr:rowOff>0</xdr:rowOff>
    </xdr:to>
    <xdr:sp macro="" textlink="">
      <xdr:nvSpPr>
        <xdr:cNvPr id="11" name="Объект 7"/>
        <xdr:cNvSpPr>
          <a:spLocks/>
        </xdr:cNvSpPr>
      </xdr:nvSpPr>
      <xdr:spPr bwMode="auto">
        <a:xfrm>
          <a:off x="3448050" y="1255395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71</xdr:row>
      <xdr:rowOff>0</xdr:rowOff>
    </xdr:from>
    <xdr:to>
      <xdr:col>3</xdr:col>
      <xdr:colOff>104775</xdr:colOff>
      <xdr:row>71</xdr:row>
      <xdr:rowOff>0</xdr:rowOff>
    </xdr:to>
    <xdr:sp macro="" textlink="">
      <xdr:nvSpPr>
        <xdr:cNvPr id="12" name="Объект 8"/>
        <xdr:cNvSpPr>
          <a:spLocks/>
        </xdr:cNvSpPr>
      </xdr:nvSpPr>
      <xdr:spPr bwMode="auto">
        <a:xfrm>
          <a:off x="2619375" y="1255395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71</xdr:row>
      <xdr:rowOff>0</xdr:rowOff>
    </xdr:from>
    <xdr:to>
      <xdr:col>4</xdr:col>
      <xdr:colOff>152400</xdr:colOff>
      <xdr:row>71</xdr:row>
      <xdr:rowOff>0</xdr:rowOff>
    </xdr:to>
    <xdr:sp macro="" textlink="">
      <xdr:nvSpPr>
        <xdr:cNvPr id="13" name="Объект 8"/>
        <xdr:cNvSpPr>
          <a:spLocks/>
        </xdr:cNvSpPr>
      </xdr:nvSpPr>
      <xdr:spPr bwMode="auto">
        <a:xfrm>
          <a:off x="3476625" y="1255395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128</xdr:row>
      <xdr:rowOff>104775</xdr:rowOff>
    </xdr:from>
    <xdr:to>
      <xdr:col>3</xdr:col>
      <xdr:colOff>85725</xdr:colOff>
      <xdr:row>128</xdr:row>
      <xdr:rowOff>152400</xdr:rowOff>
    </xdr:to>
    <xdr:sp macro="" textlink="">
      <xdr:nvSpPr>
        <xdr:cNvPr id="14" name="Объект 5"/>
        <xdr:cNvSpPr>
          <a:spLocks/>
        </xdr:cNvSpPr>
      </xdr:nvSpPr>
      <xdr:spPr bwMode="auto">
        <a:xfrm>
          <a:off x="2600325" y="2423160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600075</xdr:colOff>
      <xdr:row>128</xdr:row>
      <xdr:rowOff>104775</xdr:rowOff>
    </xdr:from>
    <xdr:to>
      <xdr:col>3</xdr:col>
      <xdr:colOff>666750</xdr:colOff>
      <xdr:row>128</xdr:row>
      <xdr:rowOff>152400</xdr:rowOff>
    </xdr:to>
    <xdr:sp macro="" textlink="">
      <xdr:nvSpPr>
        <xdr:cNvPr id="15" name="Объект 7"/>
        <xdr:cNvSpPr>
          <a:spLocks/>
        </xdr:cNvSpPr>
      </xdr:nvSpPr>
      <xdr:spPr bwMode="auto">
        <a:xfrm>
          <a:off x="3181350" y="2423160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129</xdr:row>
      <xdr:rowOff>114300</xdr:rowOff>
    </xdr:from>
    <xdr:to>
      <xdr:col>3</xdr:col>
      <xdr:colOff>85725</xdr:colOff>
      <xdr:row>129</xdr:row>
      <xdr:rowOff>161925</xdr:rowOff>
    </xdr:to>
    <xdr:sp macro="" textlink="">
      <xdr:nvSpPr>
        <xdr:cNvPr id="16" name="Объект 8"/>
        <xdr:cNvSpPr>
          <a:spLocks/>
        </xdr:cNvSpPr>
      </xdr:nvSpPr>
      <xdr:spPr bwMode="auto">
        <a:xfrm>
          <a:off x="2600325" y="2423160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609600</xdr:colOff>
      <xdr:row>129</xdr:row>
      <xdr:rowOff>114300</xdr:rowOff>
    </xdr:from>
    <xdr:to>
      <xdr:col>3</xdr:col>
      <xdr:colOff>676275</xdr:colOff>
      <xdr:row>129</xdr:row>
      <xdr:rowOff>161925</xdr:rowOff>
    </xdr:to>
    <xdr:sp macro="" textlink="">
      <xdr:nvSpPr>
        <xdr:cNvPr id="17" name="Объект 8"/>
        <xdr:cNvSpPr>
          <a:spLocks/>
        </xdr:cNvSpPr>
      </xdr:nvSpPr>
      <xdr:spPr bwMode="auto">
        <a:xfrm>
          <a:off x="3190875" y="2423160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133</xdr:row>
      <xdr:rowOff>76200</xdr:rowOff>
    </xdr:from>
    <xdr:to>
      <xdr:col>3</xdr:col>
      <xdr:colOff>85725</xdr:colOff>
      <xdr:row>133</xdr:row>
      <xdr:rowOff>123825</xdr:rowOff>
    </xdr:to>
    <xdr:sp macro="" textlink="">
      <xdr:nvSpPr>
        <xdr:cNvPr id="18" name="Объект 5"/>
        <xdr:cNvSpPr>
          <a:spLocks/>
        </xdr:cNvSpPr>
      </xdr:nvSpPr>
      <xdr:spPr bwMode="auto">
        <a:xfrm>
          <a:off x="2600325" y="2423160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600075</xdr:colOff>
      <xdr:row>133</xdr:row>
      <xdr:rowOff>104775</xdr:rowOff>
    </xdr:from>
    <xdr:to>
      <xdr:col>3</xdr:col>
      <xdr:colOff>666750</xdr:colOff>
      <xdr:row>133</xdr:row>
      <xdr:rowOff>152400</xdr:rowOff>
    </xdr:to>
    <xdr:sp macro="" textlink="">
      <xdr:nvSpPr>
        <xdr:cNvPr id="19" name="Объект 7"/>
        <xdr:cNvSpPr>
          <a:spLocks/>
        </xdr:cNvSpPr>
      </xdr:nvSpPr>
      <xdr:spPr bwMode="auto">
        <a:xfrm>
          <a:off x="3181350" y="2423160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134</xdr:row>
      <xdr:rowOff>76200</xdr:rowOff>
    </xdr:from>
    <xdr:to>
      <xdr:col>3</xdr:col>
      <xdr:colOff>104775</xdr:colOff>
      <xdr:row>134</xdr:row>
      <xdr:rowOff>123825</xdr:rowOff>
    </xdr:to>
    <xdr:sp macro="" textlink="">
      <xdr:nvSpPr>
        <xdr:cNvPr id="20" name="Объект 8"/>
        <xdr:cNvSpPr>
          <a:spLocks/>
        </xdr:cNvSpPr>
      </xdr:nvSpPr>
      <xdr:spPr bwMode="auto">
        <a:xfrm>
          <a:off x="2619375" y="2423160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619125</xdr:colOff>
      <xdr:row>134</xdr:row>
      <xdr:rowOff>95250</xdr:rowOff>
    </xdr:from>
    <xdr:to>
      <xdr:col>3</xdr:col>
      <xdr:colOff>685800</xdr:colOff>
      <xdr:row>134</xdr:row>
      <xdr:rowOff>142875</xdr:rowOff>
    </xdr:to>
    <xdr:sp macro="" textlink="">
      <xdr:nvSpPr>
        <xdr:cNvPr id="21" name="Объект 8"/>
        <xdr:cNvSpPr>
          <a:spLocks/>
        </xdr:cNvSpPr>
      </xdr:nvSpPr>
      <xdr:spPr bwMode="auto">
        <a:xfrm>
          <a:off x="3200400" y="2423160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140</xdr:row>
      <xdr:rowOff>0</xdr:rowOff>
    </xdr:from>
    <xdr:to>
      <xdr:col>3</xdr:col>
      <xdr:colOff>85725</xdr:colOff>
      <xdr:row>140</xdr:row>
      <xdr:rowOff>0</xdr:rowOff>
    </xdr:to>
    <xdr:sp macro="" textlink="">
      <xdr:nvSpPr>
        <xdr:cNvPr id="22" name="Объект 5"/>
        <xdr:cNvSpPr>
          <a:spLocks/>
        </xdr:cNvSpPr>
      </xdr:nvSpPr>
      <xdr:spPr bwMode="auto">
        <a:xfrm>
          <a:off x="2600325" y="2423160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140</xdr:row>
      <xdr:rowOff>0</xdr:rowOff>
    </xdr:from>
    <xdr:to>
      <xdr:col>4</xdr:col>
      <xdr:colOff>123825</xdr:colOff>
      <xdr:row>140</xdr:row>
      <xdr:rowOff>0</xdr:rowOff>
    </xdr:to>
    <xdr:sp macro="" textlink="">
      <xdr:nvSpPr>
        <xdr:cNvPr id="23" name="Объект 7"/>
        <xdr:cNvSpPr>
          <a:spLocks/>
        </xdr:cNvSpPr>
      </xdr:nvSpPr>
      <xdr:spPr bwMode="auto">
        <a:xfrm>
          <a:off x="3448050" y="2423160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140</xdr:row>
      <xdr:rowOff>0</xdr:rowOff>
    </xdr:from>
    <xdr:to>
      <xdr:col>3</xdr:col>
      <xdr:colOff>104775</xdr:colOff>
      <xdr:row>140</xdr:row>
      <xdr:rowOff>0</xdr:rowOff>
    </xdr:to>
    <xdr:sp macro="" textlink="">
      <xdr:nvSpPr>
        <xdr:cNvPr id="24" name="Объект 8"/>
        <xdr:cNvSpPr>
          <a:spLocks/>
        </xdr:cNvSpPr>
      </xdr:nvSpPr>
      <xdr:spPr bwMode="auto">
        <a:xfrm>
          <a:off x="2619375" y="2423160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140</xdr:row>
      <xdr:rowOff>0</xdr:rowOff>
    </xdr:from>
    <xdr:to>
      <xdr:col>4</xdr:col>
      <xdr:colOff>152400</xdr:colOff>
      <xdr:row>140</xdr:row>
      <xdr:rowOff>0</xdr:rowOff>
    </xdr:to>
    <xdr:sp macro="" textlink="">
      <xdr:nvSpPr>
        <xdr:cNvPr id="25" name="Объект 8"/>
        <xdr:cNvSpPr>
          <a:spLocks/>
        </xdr:cNvSpPr>
      </xdr:nvSpPr>
      <xdr:spPr bwMode="auto">
        <a:xfrm>
          <a:off x="3476625" y="2423160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ipenkovai/Documents/&#1050;&#1047;_1/&#1079;&#1080;&#1084;&#1072;%202014/&#1055;&#1088;&#1080;&#1083;&#1086;&#1078;&#1077;&#1085;&#1080;&#1077;%202%20&#1055;&#1057;/&#1055;&#1088;&#1080;&#1083;&#1086;&#1078;&#1077;&#1085;&#1080;&#1077;%202-5.2%20(&#1087;&#1086;&#1090;&#1088;&#1077;&#1073;&#1080;&#1090;&#1077;&#1083;&#1080;)-&#1079;&#1080;&#1084;&#1072;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КНС-3"/>
      <sheetName val="2КНС-4"/>
      <sheetName val=" 3Фоминская"/>
      <sheetName val="4ЮП ГТЭС"/>
      <sheetName val="5Вандрас"/>
      <sheetName val="6Муген"/>
      <sheetName val="7Южный Балык"/>
      <sheetName val="8Западно-Салымская"/>
      <sheetName val="9Эвихон"/>
      <sheetName val="10Лазеевская"/>
      <sheetName val="11Авангард"/>
      <sheetName val="12 ГИБДД"/>
      <sheetName val="13Западная"/>
      <sheetName val="14Самарово"/>
      <sheetName val="средневеш. tg f "/>
      <sheetName val="Потребление по часам"/>
    </sheetNames>
    <sheetDataSet>
      <sheetData sheetId="0" refreshError="1">
        <row r="3">
          <cell r="BZ3">
            <v>41990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4"/>
  <sheetViews>
    <sheetView view="pageBreakPreview" zoomScale="70" zoomScaleNormal="100" zoomScaleSheetLayoutView="70" workbookViewId="0">
      <selection activeCell="E52" sqref="E52:CB54"/>
    </sheetView>
  </sheetViews>
  <sheetFormatPr defaultRowHeight="12.75" x14ac:dyDescent="0.2"/>
  <cols>
    <col min="1" max="2" width="3.28515625" style="2" customWidth="1"/>
    <col min="3" max="3" width="7" style="2" customWidth="1"/>
    <col min="4" max="4" width="21.5703125" style="2" customWidth="1"/>
    <col min="5" max="5" width="5.85546875" style="2" customWidth="1"/>
    <col min="6" max="6" width="9.140625" style="2" customWidth="1"/>
    <col min="7" max="8" width="5.85546875" style="2" customWidth="1"/>
    <col min="9" max="20" width="8.7109375" style="2" customWidth="1"/>
    <col min="21" max="22" width="8" style="2" customWidth="1"/>
    <col min="23" max="256" width="9.140625" style="2"/>
    <col min="257" max="258" width="3.28515625" style="2" customWidth="1"/>
    <col min="259" max="259" width="5.85546875" style="2" customWidth="1"/>
    <col min="260" max="260" width="18" style="2" customWidth="1"/>
    <col min="261" max="264" width="5.85546875" style="2" customWidth="1"/>
    <col min="265" max="276" width="7.42578125" style="2" customWidth="1"/>
    <col min="277" max="278" width="8" style="2" customWidth="1"/>
    <col min="279" max="512" width="9.140625" style="2"/>
    <col min="513" max="514" width="3.28515625" style="2" customWidth="1"/>
    <col min="515" max="515" width="5.85546875" style="2" customWidth="1"/>
    <col min="516" max="516" width="18" style="2" customWidth="1"/>
    <col min="517" max="520" width="5.85546875" style="2" customWidth="1"/>
    <col min="521" max="532" width="7.42578125" style="2" customWidth="1"/>
    <col min="533" max="534" width="8" style="2" customWidth="1"/>
    <col min="535" max="768" width="9.140625" style="2"/>
    <col min="769" max="770" width="3.28515625" style="2" customWidth="1"/>
    <col min="771" max="771" width="5.85546875" style="2" customWidth="1"/>
    <col min="772" max="772" width="18" style="2" customWidth="1"/>
    <col min="773" max="776" width="5.85546875" style="2" customWidth="1"/>
    <col min="777" max="788" width="7.42578125" style="2" customWidth="1"/>
    <col min="789" max="790" width="8" style="2" customWidth="1"/>
    <col min="791" max="1024" width="9.140625" style="2"/>
    <col min="1025" max="1026" width="3.28515625" style="2" customWidth="1"/>
    <col min="1027" max="1027" width="5.85546875" style="2" customWidth="1"/>
    <col min="1028" max="1028" width="18" style="2" customWidth="1"/>
    <col min="1029" max="1032" width="5.85546875" style="2" customWidth="1"/>
    <col min="1033" max="1044" width="7.42578125" style="2" customWidth="1"/>
    <col min="1045" max="1046" width="8" style="2" customWidth="1"/>
    <col min="1047" max="1280" width="9.140625" style="2"/>
    <col min="1281" max="1282" width="3.28515625" style="2" customWidth="1"/>
    <col min="1283" max="1283" width="5.85546875" style="2" customWidth="1"/>
    <col min="1284" max="1284" width="18" style="2" customWidth="1"/>
    <col min="1285" max="1288" width="5.85546875" style="2" customWidth="1"/>
    <col min="1289" max="1300" width="7.42578125" style="2" customWidth="1"/>
    <col min="1301" max="1302" width="8" style="2" customWidth="1"/>
    <col min="1303" max="1536" width="9.140625" style="2"/>
    <col min="1537" max="1538" width="3.28515625" style="2" customWidth="1"/>
    <col min="1539" max="1539" width="5.85546875" style="2" customWidth="1"/>
    <col min="1540" max="1540" width="18" style="2" customWidth="1"/>
    <col min="1541" max="1544" width="5.85546875" style="2" customWidth="1"/>
    <col min="1545" max="1556" width="7.42578125" style="2" customWidth="1"/>
    <col min="1557" max="1558" width="8" style="2" customWidth="1"/>
    <col min="1559" max="1792" width="9.140625" style="2"/>
    <col min="1793" max="1794" width="3.28515625" style="2" customWidth="1"/>
    <col min="1795" max="1795" width="5.85546875" style="2" customWidth="1"/>
    <col min="1796" max="1796" width="18" style="2" customWidth="1"/>
    <col min="1797" max="1800" width="5.85546875" style="2" customWidth="1"/>
    <col min="1801" max="1812" width="7.42578125" style="2" customWidth="1"/>
    <col min="1813" max="1814" width="8" style="2" customWidth="1"/>
    <col min="1815" max="2048" width="9.140625" style="2"/>
    <col min="2049" max="2050" width="3.28515625" style="2" customWidth="1"/>
    <col min="2051" max="2051" width="5.85546875" style="2" customWidth="1"/>
    <col min="2052" max="2052" width="18" style="2" customWidth="1"/>
    <col min="2053" max="2056" width="5.85546875" style="2" customWidth="1"/>
    <col min="2057" max="2068" width="7.42578125" style="2" customWidth="1"/>
    <col min="2069" max="2070" width="8" style="2" customWidth="1"/>
    <col min="2071" max="2304" width="9.140625" style="2"/>
    <col min="2305" max="2306" width="3.28515625" style="2" customWidth="1"/>
    <col min="2307" max="2307" width="5.85546875" style="2" customWidth="1"/>
    <col min="2308" max="2308" width="18" style="2" customWidth="1"/>
    <col min="2309" max="2312" width="5.85546875" style="2" customWidth="1"/>
    <col min="2313" max="2324" width="7.42578125" style="2" customWidth="1"/>
    <col min="2325" max="2326" width="8" style="2" customWidth="1"/>
    <col min="2327" max="2560" width="9.140625" style="2"/>
    <col min="2561" max="2562" width="3.28515625" style="2" customWidth="1"/>
    <col min="2563" max="2563" width="5.85546875" style="2" customWidth="1"/>
    <col min="2564" max="2564" width="18" style="2" customWidth="1"/>
    <col min="2565" max="2568" width="5.85546875" style="2" customWidth="1"/>
    <col min="2569" max="2580" width="7.42578125" style="2" customWidth="1"/>
    <col min="2581" max="2582" width="8" style="2" customWidth="1"/>
    <col min="2583" max="2816" width="9.140625" style="2"/>
    <col min="2817" max="2818" width="3.28515625" style="2" customWidth="1"/>
    <col min="2819" max="2819" width="5.85546875" style="2" customWidth="1"/>
    <col min="2820" max="2820" width="18" style="2" customWidth="1"/>
    <col min="2821" max="2824" width="5.85546875" style="2" customWidth="1"/>
    <col min="2825" max="2836" width="7.42578125" style="2" customWidth="1"/>
    <col min="2837" max="2838" width="8" style="2" customWidth="1"/>
    <col min="2839" max="3072" width="9.140625" style="2"/>
    <col min="3073" max="3074" width="3.28515625" style="2" customWidth="1"/>
    <col min="3075" max="3075" width="5.85546875" style="2" customWidth="1"/>
    <col min="3076" max="3076" width="18" style="2" customWidth="1"/>
    <col min="3077" max="3080" width="5.85546875" style="2" customWidth="1"/>
    <col min="3081" max="3092" width="7.42578125" style="2" customWidth="1"/>
    <col min="3093" max="3094" width="8" style="2" customWidth="1"/>
    <col min="3095" max="3328" width="9.140625" style="2"/>
    <col min="3329" max="3330" width="3.28515625" style="2" customWidth="1"/>
    <col min="3331" max="3331" width="5.85546875" style="2" customWidth="1"/>
    <col min="3332" max="3332" width="18" style="2" customWidth="1"/>
    <col min="3333" max="3336" width="5.85546875" style="2" customWidth="1"/>
    <col min="3337" max="3348" width="7.42578125" style="2" customWidth="1"/>
    <col min="3349" max="3350" width="8" style="2" customWidth="1"/>
    <col min="3351" max="3584" width="9.140625" style="2"/>
    <col min="3585" max="3586" width="3.28515625" style="2" customWidth="1"/>
    <col min="3587" max="3587" width="5.85546875" style="2" customWidth="1"/>
    <col min="3588" max="3588" width="18" style="2" customWidth="1"/>
    <col min="3589" max="3592" width="5.85546875" style="2" customWidth="1"/>
    <col min="3593" max="3604" width="7.42578125" style="2" customWidth="1"/>
    <col min="3605" max="3606" width="8" style="2" customWidth="1"/>
    <col min="3607" max="3840" width="9.140625" style="2"/>
    <col min="3841" max="3842" width="3.28515625" style="2" customWidth="1"/>
    <col min="3843" max="3843" width="5.85546875" style="2" customWidth="1"/>
    <col min="3844" max="3844" width="18" style="2" customWidth="1"/>
    <col min="3845" max="3848" width="5.85546875" style="2" customWidth="1"/>
    <col min="3849" max="3860" width="7.42578125" style="2" customWidth="1"/>
    <col min="3861" max="3862" width="8" style="2" customWidth="1"/>
    <col min="3863" max="4096" width="9.140625" style="2"/>
    <col min="4097" max="4098" width="3.28515625" style="2" customWidth="1"/>
    <col min="4099" max="4099" width="5.85546875" style="2" customWidth="1"/>
    <col min="4100" max="4100" width="18" style="2" customWidth="1"/>
    <col min="4101" max="4104" width="5.85546875" style="2" customWidth="1"/>
    <col min="4105" max="4116" width="7.42578125" style="2" customWidth="1"/>
    <col min="4117" max="4118" width="8" style="2" customWidth="1"/>
    <col min="4119" max="4352" width="9.140625" style="2"/>
    <col min="4353" max="4354" width="3.28515625" style="2" customWidth="1"/>
    <col min="4355" max="4355" width="5.85546875" style="2" customWidth="1"/>
    <col min="4356" max="4356" width="18" style="2" customWidth="1"/>
    <col min="4357" max="4360" width="5.85546875" style="2" customWidth="1"/>
    <col min="4361" max="4372" width="7.42578125" style="2" customWidth="1"/>
    <col min="4373" max="4374" width="8" style="2" customWidth="1"/>
    <col min="4375" max="4608" width="9.140625" style="2"/>
    <col min="4609" max="4610" width="3.28515625" style="2" customWidth="1"/>
    <col min="4611" max="4611" width="5.85546875" style="2" customWidth="1"/>
    <col min="4612" max="4612" width="18" style="2" customWidth="1"/>
    <col min="4613" max="4616" width="5.85546875" style="2" customWidth="1"/>
    <col min="4617" max="4628" width="7.42578125" style="2" customWidth="1"/>
    <col min="4629" max="4630" width="8" style="2" customWidth="1"/>
    <col min="4631" max="4864" width="9.140625" style="2"/>
    <col min="4865" max="4866" width="3.28515625" style="2" customWidth="1"/>
    <col min="4867" max="4867" width="5.85546875" style="2" customWidth="1"/>
    <col min="4868" max="4868" width="18" style="2" customWidth="1"/>
    <col min="4869" max="4872" width="5.85546875" style="2" customWidth="1"/>
    <col min="4873" max="4884" width="7.42578125" style="2" customWidth="1"/>
    <col min="4885" max="4886" width="8" style="2" customWidth="1"/>
    <col min="4887" max="5120" width="9.140625" style="2"/>
    <col min="5121" max="5122" width="3.28515625" style="2" customWidth="1"/>
    <col min="5123" max="5123" width="5.85546875" style="2" customWidth="1"/>
    <col min="5124" max="5124" width="18" style="2" customWidth="1"/>
    <col min="5125" max="5128" width="5.85546875" style="2" customWidth="1"/>
    <col min="5129" max="5140" width="7.42578125" style="2" customWidth="1"/>
    <col min="5141" max="5142" width="8" style="2" customWidth="1"/>
    <col min="5143" max="5376" width="9.140625" style="2"/>
    <col min="5377" max="5378" width="3.28515625" style="2" customWidth="1"/>
    <col min="5379" max="5379" width="5.85546875" style="2" customWidth="1"/>
    <col min="5380" max="5380" width="18" style="2" customWidth="1"/>
    <col min="5381" max="5384" width="5.85546875" style="2" customWidth="1"/>
    <col min="5385" max="5396" width="7.42578125" style="2" customWidth="1"/>
    <col min="5397" max="5398" width="8" style="2" customWidth="1"/>
    <col min="5399" max="5632" width="9.140625" style="2"/>
    <col min="5633" max="5634" width="3.28515625" style="2" customWidth="1"/>
    <col min="5635" max="5635" width="5.85546875" style="2" customWidth="1"/>
    <col min="5636" max="5636" width="18" style="2" customWidth="1"/>
    <col min="5637" max="5640" width="5.85546875" style="2" customWidth="1"/>
    <col min="5641" max="5652" width="7.42578125" style="2" customWidth="1"/>
    <col min="5653" max="5654" width="8" style="2" customWidth="1"/>
    <col min="5655" max="5888" width="9.140625" style="2"/>
    <col min="5889" max="5890" width="3.28515625" style="2" customWidth="1"/>
    <col min="5891" max="5891" width="5.85546875" style="2" customWidth="1"/>
    <col min="5892" max="5892" width="18" style="2" customWidth="1"/>
    <col min="5893" max="5896" width="5.85546875" style="2" customWidth="1"/>
    <col min="5897" max="5908" width="7.42578125" style="2" customWidth="1"/>
    <col min="5909" max="5910" width="8" style="2" customWidth="1"/>
    <col min="5911" max="6144" width="9.140625" style="2"/>
    <col min="6145" max="6146" width="3.28515625" style="2" customWidth="1"/>
    <col min="6147" max="6147" width="5.85546875" style="2" customWidth="1"/>
    <col min="6148" max="6148" width="18" style="2" customWidth="1"/>
    <col min="6149" max="6152" width="5.85546875" style="2" customWidth="1"/>
    <col min="6153" max="6164" width="7.42578125" style="2" customWidth="1"/>
    <col min="6165" max="6166" width="8" style="2" customWidth="1"/>
    <col min="6167" max="6400" width="9.140625" style="2"/>
    <col min="6401" max="6402" width="3.28515625" style="2" customWidth="1"/>
    <col min="6403" max="6403" width="5.85546875" style="2" customWidth="1"/>
    <col min="6404" max="6404" width="18" style="2" customWidth="1"/>
    <col min="6405" max="6408" width="5.85546875" style="2" customWidth="1"/>
    <col min="6409" max="6420" width="7.42578125" style="2" customWidth="1"/>
    <col min="6421" max="6422" width="8" style="2" customWidth="1"/>
    <col min="6423" max="6656" width="9.140625" style="2"/>
    <col min="6657" max="6658" width="3.28515625" style="2" customWidth="1"/>
    <col min="6659" max="6659" width="5.85546875" style="2" customWidth="1"/>
    <col min="6660" max="6660" width="18" style="2" customWidth="1"/>
    <col min="6661" max="6664" width="5.85546875" style="2" customWidth="1"/>
    <col min="6665" max="6676" width="7.42578125" style="2" customWidth="1"/>
    <col min="6677" max="6678" width="8" style="2" customWidth="1"/>
    <col min="6679" max="6912" width="9.140625" style="2"/>
    <col min="6913" max="6914" width="3.28515625" style="2" customWidth="1"/>
    <col min="6915" max="6915" width="5.85546875" style="2" customWidth="1"/>
    <col min="6916" max="6916" width="18" style="2" customWidth="1"/>
    <col min="6917" max="6920" width="5.85546875" style="2" customWidth="1"/>
    <col min="6921" max="6932" width="7.42578125" style="2" customWidth="1"/>
    <col min="6933" max="6934" width="8" style="2" customWidth="1"/>
    <col min="6935" max="7168" width="9.140625" style="2"/>
    <col min="7169" max="7170" width="3.28515625" style="2" customWidth="1"/>
    <col min="7171" max="7171" width="5.85546875" style="2" customWidth="1"/>
    <col min="7172" max="7172" width="18" style="2" customWidth="1"/>
    <col min="7173" max="7176" width="5.85546875" style="2" customWidth="1"/>
    <col min="7177" max="7188" width="7.42578125" style="2" customWidth="1"/>
    <col min="7189" max="7190" width="8" style="2" customWidth="1"/>
    <col min="7191" max="7424" width="9.140625" style="2"/>
    <col min="7425" max="7426" width="3.28515625" style="2" customWidth="1"/>
    <col min="7427" max="7427" width="5.85546875" style="2" customWidth="1"/>
    <col min="7428" max="7428" width="18" style="2" customWidth="1"/>
    <col min="7429" max="7432" width="5.85546875" style="2" customWidth="1"/>
    <col min="7433" max="7444" width="7.42578125" style="2" customWidth="1"/>
    <col min="7445" max="7446" width="8" style="2" customWidth="1"/>
    <col min="7447" max="7680" width="9.140625" style="2"/>
    <col min="7681" max="7682" width="3.28515625" style="2" customWidth="1"/>
    <col min="7683" max="7683" width="5.85546875" style="2" customWidth="1"/>
    <col min="7684" max="7684" width="18" style="2" customWidth="1"/>
    <col min="7685" max="7688" width="5.85546875" style="2" customWidth="1"/>
    <col min="7689" max="7700" width="7.42578125" style="2" customWidth="1"/>
    <col min="7701" max="7702" width="8" style="2" customWidth="1"/>
    <col min="7703" max="7936" width="9.140625" style="2"/>
    <col min="7937" max="7938" width="3.28515625" style="2" customWidth="1"/>
    <col min="7939" max="7939" width="5.85546875" style="2" customWidth="1"/>
    <col min="7940" max="7940" width="18" style="2" customWidth="1"/>
    <col min="7941" max="7944" width="5.85546875" style="2" customWidth="1"/>
    <col min="7945" max="7956" width="7.42578125" style="2" customWidth="1"/>
    <col min="7957" max="7958" width="8" style="2" customWidth="1"/>
    <col min="7959" max="8192" width="9.140625" style="2"/>
    <col min="8193" max="8194" width="3.28515625" style="2" customWidth="1"/>
    <col min="8195" max="8195" width="5.85546875" style="2" customWidth="1"/>
    <col min="8196" max="8196" width="18" style="2" customWidth="1"/>
    <col min="8197" max="8200" width="5.85546875" style="2" customWidth="1"/>
    <col min="8201" max="8212" width="7.42578125" style="2" customWidth="1"/>
    <col min="8213" max="8214" width="8" style="2" customWidth="1"/>
    <col min="8215" max="8448" width="9.140625" style="2"/>
    <col min="8449" max="8450" width="3.28515625" style="2" customWidth="1"/>
    <col min="8451" max="8451" width="5.85546875" style="2" customWidth="1"/>
    <col min="8452" max="8452" width="18" style="2" customWidth="1"/>
    <col min="8453" max="8456" width="5.85546875" style="2" customWidth="1"/>
    <col min="8457" max="8468" width="7.42578125" style="2" customWidth="1"/>
    <col min="8469" max="8470" width="8" style="2" customWidth="1"/>
    <col min="8471" max="8704" width="9.140625" style="2"/>
    <col min="8705" max="8706" width="3.28515625" style="2" customWidth="1"/>
    <col min="8707" max="8707" width="5.85546875" style="2" customWidth="1"/>
    <col min="8708" max="8708" width="18" style="2" customWidth="1"/>
    <col min="8709" max="8712" width="5.85546875" style="2" customWidth="1"/>
    <col min="8713" max="8724" width="7.42578125" style="2" customWidth="1"/>
    <col min="8725" max="8726" width="8" style="2" customWidth="1"/>
    <col min="8727" max="8960" width="9.140625" style="2"/>
    <col min="8961" max="8962" width="3.28515625" style="2" customWidth="1"/>
    <col min="8963" max="8963" width="5.85546875" style="2" customWidth="1"/>
    <col min="8964" max="8964" width="18" style="2" customWidth="1"/>
    <col min="8965" max="8968" width="5.85546875" style="2" customWidth="1"/>
    <col min="8969" max="8980" width="7.42578125" style="2" customWidth="1"/>
    <col min="8981" max="8982" width="8" style="2" customWidth="1"/>
    <col min="8983" max="9216" width="9.140625" style="2"/>
    <col min="9217" max="9218" width="3.28515625" style="2" customWidth="1"/>
    <col min="9219" max="9219" width="5.85546875" style="2" customWidth="1"/>
    <col min="9220" max="9220" width="18" style="2" customWidth="1"/>
    <col min="9221" max="9224" width="5.85546875" style="2" customWidth="1"/>
    <col min="9225" max="9236" width="7.42578125" style="2" customWidth="1"/>
    <col min="9237" max="9238" width="8" style="2" customWidth="1"/>
    <col min="9239" max="9472" width="9.140625" style="2"/>
    <col min="9473" max="9474" width="3.28515625" style="2" customWidth="1"/>
    <col min="9475" max="9475" width="5.85546875" style="2" customWidth="1"/>
    <col min="9476" max="9476" width="18" style="2" customWidth="1"/>
    <col min="9477" max="9480" width="5.85546875" style="2" customWidth="1"/>
    <col min="9481" max="9492" width="7.42578125" style="2" customWidth="1"/>
    <col min="9493" max="9494" width="8" style="2" customWidth="1"/>
    <col min="9495" max="9728" width="9.140625" style="2"/>
    <col min="9729" max="9730" width="3.28515625" style="2" customWidth="1"/>
    <col min="9731" max="9731" width="5.85546875" style="2" customWidth="1"/>
    <col min="9732" max="9732" width="18" style="2" customWidth="1"/>
    <col min="9733" max="9736" width="5.85546875" style="2" customWidth="1"/>
    <col min="9737" max="9748" width="7.42578125" style="2" customWidth="1"/>
    <col min="9749" max="9750" width="8" style="2" customWidth="1"/>
    <col min="9751" max="9984" width="9.140625" style="2"/>
    <col min="9985" max="9986" width="3.28515625" style="2" customWidth="1"/>
    <col min="9987" max="9987" width="5.85546875" style="2" customWidth="1"/>
    <col min="9988" max="9988" width="18" style="2" customWidth="1"/>
    <col min="9989" max="9992" width="5.85546875" style="2" customWidth="1"/>
    <col min="9993" max="10004" width="7.42578125" style="2" customWidth="1"/>
    <col min="10005" max="10006" width="8" style="2" customWidth="1"/>
    <col min="10007" max="10240" width="9.140625" style="2"/>
    <col min="10241" max="10242" width="3.28515625" style="2" customWidth="1"/>
    <col min="10243" max="10243" width="5.85546875" style="2" customWidth="1"/>
    <col min="10244" max="10244" width="18" style="2" customWidth="1"/>
    <col min="10245" max="10248" width="5.85546875" style="2" customWidth="1"/>
    <col min="10249" max="10260" width="7.42578125" style="2" customWidth="1"/>
    <col min="10261" max="10262" width="8" style="2" customWidth="1"/>
    <col min="10263" max="10496" width="9.140625" style="2"/>
    <col min="10497" max="10498" width="3.28515625" style="2" customWidth="1"/>
    <col min="10499" max="10499" width="5.85546875" style="2" customWidth="1"/>
    <col min="10500" max="10500" width="18" style="2" customWidth="1"/>
    <col min="10501" max="10504" width="5.85546875" style="2" customWidth="1"/>
    <col min="10505" max="10516" width="7.42578125" style="2" customWidth="1"/>
    <col min="10517" max="10518" width="8" style="2" customWidth="1"/>
    <col min="10519" max="10752" width="9.140625" style="2"/>
    <col min="10753" max="10754" width="3.28515625" style="2" customWidth="1"/>
    <col min="10755" max="10755" width="5.85546875" style="2" customWidth="1"/>
    <col min="10756" max="10756" width="18" style="2" customWidth="1"/>
    <col min="10757" max="10760" width="5.85546875" style="2" customWidth="1"/>
    <col min="10761" max="10772" width="7.42578125" style="2" customWidth="1"/>
    <col min="10773" max="10774" width="8" style="2" customWidth="1"/>
    <col min="10775" max="11008" width="9.140625" style="2"/>
    <col min="11009" max="11010" width="3.28515625" style="2" customWidth="1"/>
    <col min="11011" max="11011" width="5.85546875" style="2" customWidth="1"/>
    <col min="11012" max="11012" width="18" style="2" customWidth="1"/>
    <col min="11013" max="11016" width="5.85546875" style="2" customWidth="1"/>
    <col min="11017" max="11028" width="7.42578125" style="2" customWidth="1"/>
    <col min="11029" max="11030" width="8" style="2" customWidth="1"/>
    <col min="11031" max="11264" width="9.140625" style="2"/>
    <col min="11265" max="11266" width="3.28515625" style="2" customWidth="1"/>
    <col min="11267" max="11267" width="5.85546875" style="2" customWidth="1"/>
    <col min="11268" max="11268" width="18" style="2" customWidth="1"/>
    <col min="11269" max="11272" width="5.85546875" style="2" customWidth="1"/>
    <col min="11273" max="11284" width="7.42578125" style="2" customWidth="1"/>
    <col min="11285" max="11286" width="8" style="2" customWidth="1"/>
    <col min="11287" max="11520" width="9.140625" style="2"/>
    <col min="11521" max="11522" width="3.28515625" style="2" customWidth="1"/>
    <col min="11523" max="11523" width="5.85546875" style="2" customWidth="1"/>
    <col min="11524" max="11524" width="18" style="2" customWidth="1"/>
    <col min="11525" max="11528" width="5.85546875" style="2" customWidth="1"/>
    <col min="11529" max="11540" width="7.42578125" style="2" customWidth="1"/>
    <col min="11541" max="11542" width="8" style="2" customWidth="1"/>
    <col min="11543" max="11776" width="9.140625" style="2"/>
    <col min="11777" max="11778" width="3.28515625" style="2" customWidth="1"/>
    <col min="11779" max="11779" width="5.85546875" style="2" customWidth="1"/>
    <col min="11780" max="11780" width="18" style="2" customWidth="1"/>
    <col min="11781" max="11784" width="5.85546875" style="2" customWidth="1"/>
    <col min="11785" max="11796" width="7.42578125" style="2" customWidth="1"/>
    <col min="11797" max="11798" width="8" style="2" customWidth="1"/>
    <col min="11799" max="12032" width="9.140625" style="2"/>
    <col min="12033" max="12034" width="3.28515625" style="2" customWidth="1"/>
    <col min="12035" max="12035" width="5.85546875" style="2" customWidth="1"/>
    <col min="12036" max="12036" width="18" style="2" customWidth="1"/>
    <col min="12037" max="12040" width="5.85546875" style="2" customWidth="1"/>
    <col min="12041" max="12052" width="7.42578125" style="2" customWidth="1"/>
    <col min="12053" max="12054" width="8" style="2" customWidth="1"/>
    <col min="12055" max="12288" width="9.140625" style="2"/>
    <col min="12289" max="12290" width="3.28515625" style="2" customWidth="1"/>
    <col min="12291" max="12291" width="5.85546875" style="2" customWidth="1"/>
    <col min="12292" max="12292" width="18" style="2" customWidth="1"/>
    <col min="12293" max="12296" width="5.85546875" style="2" customWidth="1"/>
    <col min="12297" max="12308" width="7.42578125" style="2" customWidth="1"/>
    <col min="12309" max="12310" width="8" style="2" customWidth="1"/>
    <col min="12311" max="12544" width="9.140625" style="2"/>
    <col min="12545" max="12546" width="3.28515625" style="2" customWidth="1"/>
    <col min="12547" max="12547" width="5.85546875" style="2" customWidth="1"/>
    <col min="12548" max="12548" width="18" style="2" customWidth="1"/>
    <col min="12549" max="12552" width="5.85546875" style="2" customWidth="1"/>
    <col min="12553" max="12564" width="7.42578125" style="2" customWidth="1"/>
    <col min="12565" max="12566" width="8" style="2" customWidth="1"/>
    <col min="12567" max="12800" width="9.140625" style="2"/>
    <col min="12801" max="12802" width="3.28515625" style="2" customWidth="1"/>
    <col min="12803" max="12803" width="5.85546875" style="2" customWidth="1"/>
    <col min="12804" max="12804" width="18" style="2" customWidth="1"/>
    <col min="12805" max="12808" width="5.85546875" style="2" customWidth="1"/>
    <col min="12809" max="12820" width="7.42578125" style="2" customWidth="1"/>
    <col min="12821" max="12822" width="8" style="2" customWidth="1"/>
    <col min="12823" max="13056" width="9.140625" style="2"/>
    <col min="13057" max="13058" width="3.28515625" style="2" customWidth="1"/>
    <col min="13059" max="13059" width="5.85546875" style="2" customWidth="1"/>
    <col min="13060" max="13060" width="18" style="2" customWidth="1"/>
    <col min="13061" max="13064" width="5.85546875" style="2" customWidth="1"/>
    <col min="13065" max="13076" width="7.42578125" style="2" customWidth="1"/>
    <col min="13077" max="13078" width="8" style="2" customWidth="1"/>
    <col min="13079" max="13312" width="9.140625" style="2"/>
    <col min="13313" max="13314" width="3.28515625" style="2" customWidth="1"/>
    <col min="13315" max="13315" width="5.85546875" style="2" customWidth="1"/>
    <col min="13316" max="13316" width="18" style="2" customWidth="1"/>
    <col min="13317" max="13320" width="5.85546875" style="2" customWidth="1"/>
    <col min="13321" max="13332" width="7.42578125" style="2" customWidth="1"/>
    <col min="13333" max="13334" width="8" style="2" customWidth="1"/>
    <col min="13335" max="13568" width="9.140625" style="2"/>
    <col min="13569" max="13570" width="3.28515625" style="2" customWidth="1"/>
    <col min="13571" max="13571" width="5.85546875" style="2" customWidth="1"/>
    <col min="13572" max="13572" width="18" style="2" customWidth="1"/>
    <col min="13573" max="13576" width="5.85546875" style="2" customWidth="1"/>
    <col min="13577" max="13588" width="7.42578125" style="2" customWidth="1"/>
    <col min="13589" max="13590" width="8" style="2" customWidth="1"/>
    <col min="13591" max="13824" width="9.140625" style="2"/>
    <col min="13825" max="13826" width="3.28515625" style="2" customWidth="1"/>
    <col min="13827" max="13827" width="5.85546875" style="2" customWidth="1"/>
    <col min="13828" max="13828" width="18" style="2" customWidth="1"/>
    <col min="13829" max="13832" width="5.85546875" style="2" customWidth="1"/>
    <col min="13833" max="13844" width="7.42578125" style="2" customWidth="1"/>
    <col min="13845" max="13846" width="8" style="2" customWidth="1"/>
    <col min="13847" max="14080" width="9.140625" style="2"/>
    <col min="14081" max="14082" width="3.28515625" style="2" customWidth="1"/>
    <col min="14083" max="14083" width="5.85546875" style="2" customWidth="1"/>
    <col min="14084" max="14084" width="18" style="2" customWidth="1"/>
    <col min="14085" max="14088" width="5.85546875" style="2" customWidth="1"/>
    <col min="14089" max="14100" width="7.42578125" style="2" customWidth="1"/>
    <col min="14101" max="14102" width="8" style="2" customWidth="1"/>
    <col min="14103" max="14336" width="9.140625" style="2"/>
    <col min="14337" max="14338" width="3.28515625" style="2" customWidth="1"/>
    <col min="14339" max="14339" width="5.85546875" style="2" customWidth="1"/>
    <col min="14340" max="14340" width="18" style="2" customWidth="1"/>
    <col min="14341" max="14344" width="5.85546875" style="2" customWidth="1"/>
    <col min="14345" max="14356" width="7.42578125" style="2" customWidth="1"/>
    <col min="14357" max="14358" width="8" style="2" customWidth="1"/>
    <col min="14359" max="14592" width="9.140625" style="2"/>
    <col min="14593" max="14594" width="3.28515625" style="2" customWidth="1"/>
    <col min="14595" max="14595" width="5.85546875" style="2" customWidth="1"/>
    <col min="14596" max="14596" width="18" style="2" customWidth="1"/>
    <col min="14597" max="14600" width="5.85546875" style="2" customWidth="1"/>
    <col min="14601" max="14612" width="7.42578125" style="2" customWidth="1"/>
    <col min="14613" max="14614" width="8" style="2" customWidth="1"/>
    <col min="14615" max="14848" width="9.140625" style="2"/>
    <col min="14849" max="14850" width="3.28515625" style="2" customWidth="1"/>
    <col min="14851" max="14851" width="5.85546875" style="2" customWidth="1"/>
    <col min="14852" max="14852" width="18" style="2" customWidth="1"/>
    <col min="14853" max="14856" width="5.85546875" style="2" customWidth="1"/>
    <col min="14857" max="14868" width="7.42578125" style="2" customWidth="1"/>
    <col min="14869" max="14870" width="8" style="2" customWidth="1"/>
    <col min="14871" max="15104" width="9.140625" style="2"/>
    <col min="15105" max="15106" width="3.28515625" style="2" customWidth="1"/>
    <col min="15107" max="15107" width="5.85546875" style="2" customWidth="1"/>
    <col min="15108" max="15108" width="18" style="2" customWidth="1"/>
    <col min="15109" max="15112" width="5.85546875" style="2" customWidth="1"/>
    <col min="15113" max="15124" width="7.42578125" style="2" customWidth="1"/>
    <col min="15125" max="15126" width="8" style="2" customWidth="1"/>
    <col min="15127" max="15360" width="9.140625" style="2"/>
    <col min="15361" max="15362" width="3.28515625" style="2" customWidth="1"/>
    <col min="15363" max="15363" width="5.85546875" style="2" customWidth="1"/>
    <col min="15364" max="15364" width="18" style="2" customWidth="1"/>
    <col min="15365" max="15368" width="5.85546875" style="2" customWidth="1"/>
    <col min="15369" max="15380" width="7.42578125" style="2" customWidth="1"/>
    <col min="15381" max="15382" width="8" style="2" customWidth="1"/>
    <col min="15383" max="15616" width="9.140625" style="2"/>
    <col min="15617" max="15618" width="3.28515625" style="2" customWidth="1"/>
    <col min="15619" max="15619" width="5.85546875" style="2" customWidth="1"/>
    <col min="15620" max="15620" width="18" style="2" customWidth="1"/>
    <col min="15621" max="15624" width="5.85546875" style="2" customWidth="1"/>
    <col min="15625" max="15636" width="7.42578125" style="2" customWidth="1"/>
    <col min="15637" max="15638" width="8" style="2" customWidth="1"/>
    <col min="15639" max="15872" width="9.140625" style="2"/>
    <col min="15873" max="15874" width="3.28515625" style="2" customWidth="1"/>
    <col min="15875" max="15875" width="5.85546875" style="2" customWidth="1"/>
    <col min="15876" max="15876" width="18" style="2" customWidth="1"/>
    <col min="15877" max="15880" width="5.85546875" style="2" customWidth="1"/>
    <col min="15881" max="15892" width="7.42578125" style="2" customWidth="1"/>
    <col min="15893" max="15894" width="8" style="2" customWidth="1"/>
    <col min="15895" max="16128" width="9.140625" style="2"/>
    <col min="16129" max="16130" width="3.28515625" style="2" customWidth="1"/>
    <col min="16131" max="16131" width="5.85546875" style="2" customWidth="1"/>
    <col min="16132" max="16132" width="18" style="2" customWidth="1"/>
    <col min="16133" max="16136" width="5.85546875" style="2" customWidth="1"/>
    <col min="16137" max="16148" width="7.42578125" style="2" customWidth="1"/>
    <col min="16149" max="16150" width="8" style="2" customWidth="1"/>
    <col min="16151" max="16384" width="9.140625" style="2"/>
  </cols>
  <sheetData>
    <row r="1" spans="1:80" ht="16.5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 t="s">
        <v>34</v>
      </c>
    </row>
    <row r="2" spans="1:80" ht="16.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 t="s">
        <v>35</v>
      </c>
    </row>
    <row r="3" spans="1:80" ht="16.5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 t="s">
        <v>36</v>
      </c>
    </row>
    <row r="4" spans="1:80" ht="37.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8"/>
    </row>
    <row r="5" spans="1:80" ht="16.5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8"/>
    </row>
    <row r="6" spans="1:80" ht="73.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8"/>
    </row>
    <row r="7" spans="1:80" ht="16.5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016" t="s">
        <v>29</v>
      </c>
      <c r="R7" s="1016"/>
      <c r="S7" s="1016"/>
      <c r="T7" s="1016"/>
    </row>
    <row r="8" spans="1:80" ht="16.5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017" t="s">
        <v>1</v>
      </c>
      <c r="R8" s="1017"/>
      <c r="S8" s="1017"/>
      <c r="T8" s="1017"/>
    </row>
    <row r="9" spans="1:80" ht="16.5" customHeight="1" x14ac:dyDescent="0.25">
      <c r="A9" s="1018" t="s">
        <v>37</v>
      </c>
      <c r="B9" s="1018"/>
      <c r="C9" s="1018"/>
      <c r="D9" s="1018"/>
      <c r="E9" s="1018"/>
      <c r="F9" s="1018"/>
      <c r="G9" s="1018"/>
      <c r="H9" s="1018"/>
      <c r="I9" s="1018"/>
      <c r="J9" s="1018"/>
      <c r="K9" s="1018"/>
      <c r="L9" s="1018"/>
      <c r="M9" s="1018"/>
      <c r="N9" s="1018"/>
      <c r="O9" s="1018"/>
      <c r="P9" s="1018"/>
      <c r="Q9" s="1018"/>
      <c r="R9" s="1018"/>
      <c r="S9" s="1018"/>
      <c r="T9" s="1018"/>
      <c r="U9" s="1"/>
    </row>
    <row r="10" spans="1:80" ht="15.75" thickBot="1" x14ac:dyDescent="0.3">
      <c r="A10" s="1019"/>
      <c r="B10" s="1019"/>
      <c r="C10" s="1019"/>
      <c r="D10" s="1019"/>
      <c r="E10" s="1019"/>
      <c r="F10" s="1019"/>
      <c r="G10" s="1019"/>
      <c r="H10" s="1019"/>
      <c r="I10" s="1019"/>
      <c r="J10" s="1019"/>
      <c r="K10" s="1019"/>
      <c r="L10" s="1019"/>
      <c r="M10" s="1019"/>
      <c r="N10" s="1019"/>
      <c r="O10" s="1019"/>
      <c r="P10" s="1019"/>
      <c r="Q10" s="1019"/>
      <c r="R10" s="1019"/>
      <c r="S10" s="1019"/>
      <c r="T10" s="1019"/>
      <c r="U10" s="1"/>
    </row>
    <row r="11" spans="1:80" ht="19.5" customHeight="1" thickBot="1" x14ac:dyDescent="0.25">
      <c r="A11" s="1020" t="s">
        <v>2</v>
      </c>
      <c r="B11" s="1021"/>
      <c r="C11" s="1021"/>
      <c r="D11" s="1021"/>
      <c r="E11" s="1021"/>
      <c r="F11" s="1021"/>
      <c r="G11" s="1021"/>
      <c r="H11" s="1022"/>
      <c r="I11" s="1001" t="s">
        <v>3</v>
      </c>
      <c r="J11" s="1002"/>
      <c r="K11" s="1003"/>
      <c r="L11" s="1001" t="s">
        <v>4</v>
      </c>
      <c r="M11" s="1002"/>
      <c r="N11" s="1003"/>
      <c r="O11" s="1001" t="s">
        <v>102</v>
      </c>
      <c r="P11" s="1002"/>
      <c r="Q11" s="1003"/>
      <c r="R11" s="1001" t="s">
        <v>103</v>
      </c>
      <c r="S11" s="1002"/>
      <c r="T11" s="1003"/>
      <c r="U11" s="1001" t="s">
        <v>104</v>
      </c>
      <c r="V11" s="1002"/>
      <c r="W11" s="1003"/>
      <c r="X11" s="1001" t="s">
        <v>105</v>
      </c>
      <c r="Y11" s="1002"/>
      <c r="Z11" s="1003"/>
      <c r="AA11" s="1001" t="s">
        <v>106</v>
      </c>
      <c r="AB11" s="1002"/>
      <c r="AC11" s="1003"/>
      <c r="AD11" s="1001" t="s">
        <v>108</v>
      </c>
      <c r="AE11" s="1002"/>
      <c r="AF11" s="1003"/>
      <c r="AG11" s="1001" t="s">
        <v>107</v>
      </c>
      <c r="AH11" s="1002"/>
      <c r="AI11" s="1003"/>
      <c r="AJ11" s="1001" t="s">
        <v>109</v>
      </c>
      <c r="AK11" s="1002"/>
      <c r="AL11" s="1003"/>
      <c r="AM11" s="1001" t="s">
        <v>110</v>
      </c>
      <c r="AN11" s="1002"/>
      <c r="AO11" s="1003"/>
      <c r="AP11" s="1001" t="s">
        <v>111</v>
      </c>
      <c r="AQ11" s="1002"/>
      <c r="AR11" s="1003"/>
      <c r="AS11" s="1001" t="s">
        <v>112</v>
      </c>
      <c r="AT11" s="1002"/>
      <c r="AU11" s="1003"/>
      <c r="AV11" s="1001" t="s">
        <v>113</v>
      </c>
      <c r="AW11" s="1002"/>
      <c r="AX11" s="1003"/>
      <c r="AY11" s="1001" t="s">
        <v>114</v>
      </c>
      <c r="AZ11" s="1002"/>
      <c r="BA11" s="1003"/>
      <c r="BB11" s="1001" t="s">
        <v>115</v>
      </c>
      <c r="BC11" s="1002"/>
      <c r="BD11" s="1003"/>
      <c r="BE11" s="1001" t="s">
        <v>116</v>
      </c>
      <c r="BF11" s="1002"/>
      <c r="BG11" s="1003"/>
      <c r="BH11" s="1001" t="s">
        <v>117</v>
      </c>
      <c r="BI11" s="1002"/>
      <c r="BJ11" s="1003"/>
      <c r="BK11" s="1001" t="s">
        <v>118</v>
      </c>
      <c r="BL11" s="1002"/>
      <c r="BM11" s="1003"/>
      <c r="BN11" s="1001" t="s">
        <v>119</v>
      </c>
      <c r="BO11" s="1002"/>
      <c r="BP11" s="1003"/>
      <c r="BQ11" s="1001" t="s">
        <v>120</v>
      </c>
      <c r="BR11" s="1002"/>
      <c r="BS11" s="1003"/>
      <c r="BT11" s="1001" t="s">
        <v>121</v>
      </c>
      <c r="BU11" s="1002"/>
      <c r="BV11" s="1003"/>
      <c r="BW11" s="1001" t="s">
        <v>122</v>
      </c>
      <c r="BX11" s="1002"/>
      <c r="BY11" s="1003"/>
      <c r="BZ11" s="1001" t="s">
        <v>5</v>
      </c>
      <c r="CA11" s="1002"/>
      <c r="CB11" s="1003"/>
    </row>
    <row r="12" spans="1:80" ht="12.75" customHeight="1" x14ac:dyDescent="0.2">
      <c r="A12" s="1040" t="s">
        <v>6</v>
      </c>
      <c r="B12" s="1041"/>
      <c r="C12" s="1042"/>
      <c r="D12" s="1046" t="s">
        <v>7</v>
      </c>
      <c r="E12" s="1040" t="s">
        <v>8</v>
      </c>
      <c r="F12" s="1041"/>
      <c r="G12" s="1041"/>
      <c r="H12" s="1042"/>
      <c r="I12" s="1004" t="s">
        <v>9</v>
      </c>
      <c r="J12" s="1006" t="s">
        <v>10</v>
      </c>
      <c r="K12" s="1006" t="s">
        <v>11</v>
      </c>
      <c r="L12" s="1004" t="s">
        <v>9</v>
      </c>
      <c r="M12" s="1006" t="s">
        <v>10</v>
      </c>
      <c r="N12" s="1006" t="s">
        <v>11</v>
      </c>
      <c r="O12" s="1004" t="s">
        <v>9</v>
      </c>
      <c r="P12" s="1006" t="s">
        <v>10</v>
      </c>
      <c r="Q12" s="1006" t="s">
        <v>11</v>
      </c>
      <c r="R12" s="1004" t="s">
        <v>9</v>
      </c>
      <c r="S12" s="1006" t="s">
        <v>10</v>
      </c>
      <c r="T12" s="1008" t="s">
        <v>11</v>
      </c>
      <c r="U12" s="1004" t="s">
        <v>9</v>
      </c>
      <c r="V12" s="1006" t="s">
        <v>10</v>
      </c>
      <c r="W12" s="1006" t="s">
        <v>11</v>
      </c>
      <c r="X12" s="1004" t="s">
        <v>9</v>
      </c>
      <c r="Y12" s="1006" t="s">
        <v>10</v>
      </c>
      <c r="Z12" s="1006" t="s">
        <v>11</v>
      </c>
      <c r="AA12" s="1004" t="s">
        <v>9</v>
      </c>
      <c r="AB12" s="1006" t="s">
        <v>10</v>
      </c>
      <c r="AC12" s="1006" t="s">
        <v>11</v>
      </c>
      <c r="AD12" s="1004" t="s">
        <v>9</v>
      </c>
      <c r="AE12" s="1006" t="s">
        <v>10</v>
      </c>
      <c r="AF12" s="1008" t="s">
        <v>11</v>
      </c>
      <c r="AG12" s="1004" t="s">
        <v>9</v>
      </c>
      <c r="AH12" s="1006" t="s">
        <v>10</v>
      </c>
      <c r="AI12" s="1006" t="s">
        <v>11</v>
      </c>
      <c r="AJ12" s="1004" t="s">
        <v>9</v>
      </c>
      <c r="AK12" s="1006" t="s">
        <v>10</v>
      </c>
      <c r="AL12" s="1006" t="s">
        <v>11</v>
      </c>
      <c r="AM12" s="1004" t="s">
        <v>9</v>
      </c>
      <c r="AN12" s="1006" t="s">
        <v>10</v>
      </c>
      <c r="AO12" s="1006" t="s">
        <v>11</v>
      </c>
      <c r="AP12" s="1004" t="s">
        <v>9</v>
      </c>
      <c r="AQ12" s="1006" t="s">
        <v>10</v>
      </c>
      <c r="AR12" s="1008" t="s">
        <v>11</v>
      </c>
      <c r="AS12" s="1004" t="s">
        <v>9</v>
      </c>
      <c r="AT12" s="1006" t="s">
        <v>10</v>
      </c>
      <c r="AU12" s="1006" t="s">
        <v>11</v>
      </c>
      <c r="AV12" s="1004" t="s">
        <v>9</v>
      </c>
      <c r="AW12" s="1006" t="s">
        <v>10</v>
      </c>
      <c r="AX12" s="1006" t="s">
        <v>11</v>
      </c>
      <c r="AY12" s="1004" t="s">
        <v>9</v>
      </c>
      <c r="AZ12" s="1006" t="s">
        <v>10</v>
      </c>
      <c r="BA12" s="1006" t="s">
        <v>11</v>
      </c>
      <c r="BB12" s="1004" t="s">
        <v>9</v>
      </c>
      <c r="BC12" s="1006" t="s">
        <v>10</v>
      </c>
      <c r="BD12" s="1008" t="s">
        <v>11</v>
      </c>
      <c r="BE12" s="1004" t="s">
        <v>9</v>
      </c>
      <c r="BF12" s="1006" t="s">
        <v>10</v>
      </c>
      <c r="BG12" s="1006" t="s">
        <v>11</v>
      </c>
      <c r="BH12" s="1004" t="s">
        <v>9</v>
      </c>
      <c r="BI12" s="1006" t="s">
        <v>10</v>
      </c>
      <c r="BJ12" s="1006" t="s">
        <v>11</v>
      </c>
      <c r="BK12" s="1004" t="s">
        <v>9</v>
      </c>
      <c r="BL12" s="1006" t="s">
        <v>10</v>
      </c>
      <c r="BM12" s="1006" t="s">
        <v>11</v>
      </c>
      <c r="BN12" s="1004" t="s">
        <v>9</v>
      </c>
      <c r="BO12" s="1006" t="s">
        <v>10</v>
      </c>
      <c r="BP12" s="1008" t="s">
        <v>11</v>
      </c>
      <c r="BQ12" s="1004" t="s">
        <v>9</v>
      </c>
      <c r="BR12" s="1006" t="s">
        <v>10</v>
      </c>
      <c r="BS12" s="1006" t="s">
        <v>11</v>
      </c>
      <c r="BT12" s="1004" t="s">
        <v>9</v>
      </c>
      <c r="BU12" s="1006" t="s">
        <v>10</v>
      </c>
      <c r="BV12" s="1006" t="s">
        <v>11</v>
      </c>
      <c r="BW12" s="1004" t="s">
        <v>9</v>
      </c>
      <c r="BX12" s="1006" t="s">
        <v>10</v>
      </c>
      <c r="BY12" s="1006" t="s">
        <v>11</v>
      </c>
      <c r="BZ12" s="1004" t="s">
        <v>9</v>
      </c>
      <c r="CA12" s="1006" t="s">
        <v>10</v>
      </c>
      <c r="CB12" s="1008" t="s">
        <v>11</v>
      </c>
    </row>
    <row r="13" spans="1:80" ht="23.25" customHeight="1" thickBot="1" x14ac:dyDescent="0.25">
      <c r="A13" s="1043"/>
      <c r="B13" s="1044"/>
      <c r="C13" s="1045"/>
      <c r="D13" s="1047"/>
      <c r="E13" s="1043"/>
      <c r="F13" s="1044"/>
      <c r="G13" s="1044"/>
      <c r="H13" s="1045"/>
      <c r="I13" s="1005"/>
      <c r="J13" s="1007"/>
      <c r="K13" s="1007"/>
      <c r="L13" s="1005"/>
      <c r="M13" s="1007"/>
      <c r="N13" s="1007"/>
      <c r="O13" s="1005"/>
      <c r="P13" s="1007"/>
      <c r="Q13" s="1007"/>
      <c r="R13" s="1005"/>
      <c r="S13" s="1007"/>
      <c r="T13" s="1009"/>
      <c r="U13" s="1005"/>
      <c r="V13" s="1007"/>
      <c r="W13" s="1007"/>
      <c r="X13" s="1005"/>
      <c r="Y13" s="1007"/>
      <c r="Z13" s="1007"/>
      <c r="AA13" s="1005"/>
      <c r="AB13" s="1007"/>
      <c r="AC13" s="1007"/>
      <c r="AD13" s="1005"/>
      <c r="AE13" s="1007"/>
      <c r="AF13" s="1009"/>
      <c r="AG13" s="1005"/>
      <c r="AH13" s="1007"/>
      <c r="AI13" s="1007"/>
      <c r="AJ13" s="1005"/>
      <c r="AK13" s="1007"/>
      <c r="AL13" s="1007"/>
      <c r="AM13" s="1005"/>
      <c r="AN13" s="1007"/>
      <c r="AO13" s="1007"/>
      <c r="AP13" s="1005"/>
      <c r="AQ13" s="1007"/>
      <c r="AR13" s="1009"/>
      <c r="AS13" s="1005"/>
      <c r="AT13" s="1007"/>
      <c r="AU13" s="1007"/>
      <c r="AV13" s="1005"/>
      <c r="AW13" s="1007"/>
      <c r="AX13" s="1007"/>
      <c r="AY13" s="1005"/>
      <c r="AZ13" s="1007"/>
      <c r="BA13" s="1007"/>
      <c r="BB13" s="1005"/>
      <c r="BC13" s="1007"/>
      <c r="BD13" s="1009"/>
      <c r="BE13" s="1005"/>
      <c r="BF13" s="1007"/>
      <c r="BG13" s="1007"/>
      <c r="BH13" s="1005"/>
      <c r="BI13" s="1007"/>
      <c r="BJ13" s="1007"/>
      <c r="BK13" s="1005"/>
      <c r="BL13" s="1007"/>
      <c r="BM13" s="1007"/>
      <c r="BN13" s="1005"/>
      <c r="BO13" s="1007"/>
      <c r="BP13" s="1009"/>
      <c r="BQ13" s="1005"/>
      <c r="BR13" s="1007"/>
      <c r="BS13" s="1007"/>
      <c r="BT13" s="1005"/>
      <c r="BU13" s="1007"/>
      <c r="BV13" s="1007"/>
      <c r="BW13" s="1005"/>
      <c r="BX13" s="1007"/>
      <c r="BY13" s="1007"/>
      <c r="BZ13" s="1005"/>
      <c r="CA13" s="1007"/>
      <c r="CB13" s="1009"/>
    </row>
    <row r="14" spans="1:80" ht="18" customHeight="1" thickBot="1" x14ac:dyDescent="0.3">
      <c r="A14" s="1023" t="s">
        <v>12</v>
      </c>
      <c r="B14" s="1024"/>
      <c r="C14" s="1025"/>
      <c r="D14" s="1032">
        <v>40</v>
      </c>
      <c r="E14" s="1023" t="s">
        <v>13</v>
      </c>
      <c r="F14" s="1025"/>
      <c r="G14" s="1035" t="s">
        <v>44</v>
      </c>
      <c r="H14" s="1036"/>
      <c r="I14" s="77">
        <v>0</v>
      </c>
      <c r="J14" s="39">
        <f>I14*I18/1000*0.36</f>
        <v>0</v>
      </c>
      <c r="K14" s="87">
        <f>I14*I18/1000*0.64</f>
        <v>0</v>
      </c>
      <c r="L14" s="77">
        <v>0</v>
      </c>
      <c r="M14" s="39">
        <f>L14*L18/1000*0.36</f>
        <v>0</v>
      </c>
      <c r="N14" s="87">
        <f>L14*L18/1000*0.64</f>
        <v>0</v>
      </c>
      <c r="O14" s="77">
        <v>0</v>
      </c>
      <c r="P14" s="39">
        <f>O14*O18/1000*0.36</f>
        <v>0</v>
      </c>
      <c r="Q14" s="87">
        <f>O14*O18/1000*0.64</f>
        <v>0</v>
      </c>
      <c r="R14" s="77">
        <v>0</v>
      </c>
      <c r="S14" s="39">
        <f>R14*R18/1000*0.36</f>
        <v>0</v>
      </c>
      <c r="T14" s="87">
        <f>R14*R18/1000*0.64</f>
        <v>0</v>
      </c>
      <c r="U14" s="77">
        <v>0</v>
      </c>
      <c r="V14" s="39">
        <f>U14*U18/1000*0.36</f>
        <v>0</v>
      </c>
      <c r="W14" s="87">
        <f>U14*U18/1000*0.64</f>
        <v>0</v>
      </c>
      <c r="X14" s="77">
        <v>0</v>
      </c>
      <c r="Y14" s="39">
        <f>X14*X18/1000*0.36</f>
        <v>0</v>
      </c>
      <c r="Z14" s="87">
        <f>X14*X18/1000*0.64</f>
        <v>0</v>
      </c>
      <c r="AA14" s="77">
        <v>8.4</v>
      </c>
      <c r="AB14" s="39">
        <f>AA14*AA18/1000*0.36</f>
        <v>0.35985600000000001</v>
      </c>
      <c r="AC14" s="87">
        <f>AA14*AA18/1000*0.64</f>
        <v>0.63974400000000009</v>
      </c>
      <c r="AD14" s="77">
        <v>8.4</v>
      </c>
      <c r="AE14" s="39">
        <f>AD14*AD18/1000*0.36</f>
        <v>0.35985600000000001</v>
      </c>
      <c r="AF14" s="87">
        <f>AD14*AD18/1000*0.64</f>
        <v>0.63974400000000009</v>
      </c>
      <c r="AG14" s="77">
        <v>8.4</v>
      </c>
      <c r="AH14" s="39">
        <f>AG14*AG18/1000*0.36</f>
        <v>0.35985600000000001</v>
      </c>
      <c r="AI14" s="87">
        <f>AG14*AG18/1000*0.64</f>
        <v>0.63974400000000009</v>
      </c>
      <c r="AJ14" s="77">
        <v>8.4</v>
      </c>
      <c r="AK14" s="39">
        <f>AJ14*AJ18/1000*0.36</f>
        <v>0.35985600000000001</v>
      </c>
      <c r="AL14" s="87">
        <f>AJ14*AJ18/1000*0.64</f>
        <v>0.63974400000000009</v>
      </c>
      <c r="AM14" s="77">
        <v>8.4</v>
      </c>
      <c r="AN14" s="39">
        <f>AM14*AM18/1000*0.36</f>
        <v>0.35985600000000001</v>
      </c>
      <c r="AO14" s="87">
        <f>AM14*AM18/1000*0.64</f>
        <v>0.63974400000000009</v>
      </c>
      <c r="AP14" s="77">
        <v>8.4</v>
      </c>
      <c r="AQ14" s="39">
        <f>AP14*AP18/1000*0.36</f>
        <v>0.35985600000000001</v>
      </c>
      <c r="AR14" s="87">
        <f>AP14*AP18/1000*0.64</f>
        <v>0.63974400000000009</v>
      </c>
      <c r="AS14" s="77">
        <v>8.4</v>
      </c>
      <c r="AT14" s="39">
        <f>AS14*AS18/1000*0.36</f>
        <v>0.35985600000000001</v>
      </c>
      <c r="AU14" s="87">
        <f>AS14*AS18/1000*0.64</f>
        <v>0.63974400000000009</v>
      </c>
      <c r="AV14" s="77">
        <v>8.4</v>
      </c>
      <c r="AW14" s="39">
        <f>AV14*AV18/1000*0.36</f>
        <v>0.35985600000000001</v>
      </c>
      <c r="AX14" s="87">
        <f>AV14*AV18/1000*0.64</f>
        <v>0.63974400000000009</v>
      </c>
      <c r="AY14" s="77">
        <v>8.4</v>
      </c>
      <c r="AZ14" s="39">
        <f>AY14*AY18/1000*0.36</f>
        <v>0.35985600000000001</v>
      </c>
      <c r="BA14" s="87">
        <f>AY14*AY18/1000*0.64</f>
        <v>0.63974400000000009</v>
      </c>
      <c r="BB14" s="77">
        <v>8.4</v>
      </c>
      <c r="BC14" s="39">
        <f>BB14*BB18/1000*0.36</f>
        <v>0.35985600000000001</v>
      </c>
      <c r="BD14" s="87">
        <f>BB14*BB18/1000*0.64</f>
        <v>0.63974400000000009</v>
      </c>
      <c r="BE14" s="77">
        <v>8.4</v>
      </c>
      <c r="BF14" s="39">
        <f>BE14*BE18/1000*0.36</f>
        <v>0.35985600000000001</v>
      </c>
      <c r="BG14" s="87">
        <f>BE14*BE18/1000*0.64</f>
        <v>0.63974400000000009</v>
      </c>
      <c r="BH14" s="77">
        <v>8.4</v>
      </c>
      <c r="BI14" s="39">
        <f>BH14*BH18/1000*0.36</f>
        <v>0.35985600000000001</v>
      </c>
      <c r="BJ14" s="87">
        <f>BH14*BH18/1000*0.64</f>
        <v>0.63974400000000009</v>
      </c>
      <c r="BK14" s="77">
        <v>8.4</v>
      </c>
      <c r="BL14" s="39">
        <f>BK14*BK18/1000*0.36</f>
        <v>0.35985600000000001</v>
      </c>
      <c r="BM14" s="87">
        <f>BK14*BK18/1000*0.64</f>
        <v>0.63974400000000009</v>
      </c>
      <c r="BN14" s="77">
        <v>8.4</v>
      </c>
      <c r="BO14" s="39">
        <f>BN14*BN18/1000*0.36</f>
        <v>0.35985600000000001</v>
      </c>
      <c r="BP14" s="87">
        <f>BN14*BN18/1000*0.64</f>
        <v>0.63974400000000009</v>
      </c>
      <c r="BQ14" s="77">
        <v>8.4</v>
      </c>
      <c r="BR14" s="39">
        <f>BQ14*BQ18/1000*0.36</f>
        <v>0.35985600000000001</v>
      </c>
      <c r="BS14" s="87">
        <f>BQ14*BQ18/1000*0.64</f>
        <v>0.63974400000000009</v>
      </c>
      <c r="BT14" s="77">
        <v>8.4</v>
      </c>
      <c r="BU14" s="39">
        <f>BT14*BT18/1000*0.36</f>
        <v>0.35985600000000001</v>
      </c>
      <c r="BV14" s="87">
        <f>BT14*BT18/1000*0.64</f>
        <v>0.63974400000000009</v>
      </c>
      <c r="BW14" s="77">
        <v>8.4</v>
      </c>
      <c r="BX14" s="39">
        <f>BW14*BW18/1000*0.36</f>
        <v>0.35985600000000001</v>
      </c>
      <c r="BY14" s="87">
        <f>BW14*BW18/1000*0.64</f>
        <v>0.63974400000000009</v>
      </c>
      <c r="BZ14" s="77">
        <v>8.4</v>
      </c>
      <c r="CA14" s="39">
        <f>BZ14*BZ18/1000*0.36</f>
        <v>0.35985600000000001</v>
      </c>
      <c r="CB14" s="87">
        <f>BZ14*BZ18/1000*0.64</f>
        <v>0.63974400000000009</v>
      </c>
    </row>
    <row r="15" spans="1:80" ht="18" customHeight="1" thickBot="1" x14ac:dyDescent="0.3">
      <c r="A15" s="1026"/>
      <c r="B15" s="1027"/>
      <c r="C15" s="1028"/>
      <c r="D15" s="1033"/>
      <c r="E15" s="1026"/>
      <c r="F15" s="1028"/>
      <c r="G15" s="1035" t="s">
        <v>45</v>
      </c>
      <c r="H15" s="1036"/>
      <c r="I15" s="80">
        <v>24</v>
      </c>
      <c r="J15" s="63">
        <f>I15*I19/1000*0.45</f>
        <v>0.38556000000000007</v>
      </c>
      <c r="K15" s="63">
        <f>I15*I19/1000*0.55</f>
        <v>0.4712400000000001</v>
      </c>
      <c r="L15" s="80">
        <v>24</v>
      </c>
      <c r="M15" s="63">
        <f>L15*L19/1000*0.45</f>
        <v>0.38556000000000007</v>
      </c>
      <c r="N15" s="63">
        <f>L15*L19/1000*0.55</f>
        <v>0.4712400000000001</v>
      </c>
      <c r="O15" s="80">
        <v>24</v>
      </c>
      <c r="P15" s="63">
        <f>O15*O19/1000*0.45</f>
        <v>0.38556000000000007</v>
      </c>
      <c r="Q15" s="63">
        <f>O15*O19/1000*0.55</f>
        <v>0.4712400000000001</v>
      </c>
      <c r="R15" s="80">
        <v>24</v>
      </c>
      <c r="S15" s="63">
        <f>R15*R19/1000*0.45</f>
        <v>0.38556000000000007</v>
      </c>
      <c r="T15" s="63">
        <f>R15*R19/1000*0.55</f>
        <v>0.4712400000000001</v>
      </c>
      <c r="U15" s="80">
        <v>24</v>
      </c>
      <c r="V15" s="63">
        <f>U15*U19/1000*0.45</f>
        <v>0.38556000000000007</v>
      </c>
      <c r="W15" s="63">
        <f>U15*U19/1000*0.55</f>
        <v>0.4712400000000001</v>
      </c>
      <c r="X15" s="80">
        <v>24</v>
      </c>
      <c r="Y15" s="63">
        <f>X15*X19/1000*0.45</f>
        <v>0.38556000000000007</v>
      </c>
      <c r="Z15" s="63">
        <f>X15*X19/1000*0.55</f>
        <v>0.4712400000000001</v>
      </c>
      <c r="AA15" s="80">
        <v>30</v>
      </c>
      <c r="AB15" s="63">
        <f>AA15*AA19/1000*0.45</f>
        <v>0.48194999999999999</v>
      </c>
      <c r="AC15" s="63">
        <f>AA15*AA19/1000*0.55</f>
        <v>0.58905000000000007</v>
      </c>
      <c r="AD15" s="80">
        <v>30</v>
      </c>
      <c r="AE15" s="63">
        <f>AD15*AD19/1000*0.45</f>
        <v>0.48194999999999999</v>
      </c>
      <c r="AF15" s="63">
        <f>AD15*AD19/1000*0.55</f>
        <v>0.58905000000000007</v>
      </c>
      <c r="AG15" s="80">
        <v>30</v>
      </c>
      <c r="AH15" s="63">
        <f>AG15*AG19/1000*0.45</f>
        <v>0.48194999999999999</v>
      </c>
      <c r="AI15" s="63">
        <f>AG15*AG19/1000*0.55</f>
        <v>0.58905000000000007</v>
      </c>
      <c r="AJ15" s="80">
        <v>30</v>
      </c>
      <c r="AK15" s="63">
        <f>AJ15*AJ19/1000*0.45</f>
        <v>0.48194999999999999</v>
      </c>
      <c r="AL15" s="63">
        <f>AJ15*AJ19/1000*0.55</f>
        <v>0.58905000000000007</v>
      </c>
      <c r="AM15" s="80">
        <v>30</v>
      </c>
      <c r="AN15" s="63">
        <f>AM15*AM19/1000*0.45</f>
        <v>0.48194999999999999</v>
      </c>
      <c r="AO15" s="63">
        <f>AM15*AM19/1000*0.55</f>
        <v>0.58905000000000007</v>
      </c>
      <c r="AP15" s="80">
        <v>30</v>
      </c>
      <c r="AQ15" s="63">
        <f>AP15*AP19/1000*0.45</f>
        <v>0.48194999999999999</v>
      </c>
      <c r="AR15" s="63">
        <f>AP15*AP19/1000*0.55</f>
        <v>0.58905000000000007</v>
      </c>
      <c r="AS15" s="80">
        <v>30</v>
      </c>
      <c r="AT15" s="63">
        <f>AS15*AS19/1000*0.45</f>
        <v>0.48194999999999999</v>
      </c>
      <c r="AU15" s="63">
        <f>AS15*AS19/1000*0.55</f>
        <v>0.58905000000000007</v>
      </c>
      <c r="AV15" s="80">
        <v>30</v>
      </c>
      <c r="AW15" s="63">
        <f>AV15*AV19/1000*0.45</f>
        <v>0.48194999999999999</v>
      </c>
      <c r="AX15" s="63">
        <f>AV15*AV19/1000*0.55</f>
        <v>0.58905000000000007</v>
      </c>
      <c r="AY15" s="80">
        <v>30</v>
      </c>
      <c r="AZ15" s="63">
        <f>AY15*AY19/1000*0.45</f>
        <v>0.48194999999999999</v>
      </c>
      <c r="BA15" s="63">
        <f>AY15*AY19/1000*0.55</f>
        <v>0.58905000000000007</v>
      </c>
      <c r="BB15" s="80">
        <v>30</v>
      </c>
      <c r="BC15" s="63">
        <f>BB15*BB19/1000*0.45</f>
        <v>0.48194999999999999</v>
      </c>
      <c r="BD15" s="63">
        <f>BB15*BB19/1000*0.55</f>
        <v>0.58905000000000007</v>
      </c>
      <c r="BE15" s="80">
        <v>30</v>
      </c>
      <c r="BF15" s="63">
        <f>BE15*BE19/1000*0.45</f>
        <v>0.48194999999999999</v>
      </c>
      <c r="BG15" s="63">
        <f>BE15*BE19/1000*0.55</f>
        <v>0.58905000000000007</v>
      </c>
      <c r="BH15" s="80">
        <v>30</v>
      </c>
      <c r="BI15" s="63">
        <f>BH15*BH19/1000*0.45</f>
        <v>0.48194999999999999</v>
      </c>
      <c r="BJ15" s="63">
        <f>BH15*BH19/1000*0.55</f>
        <v>0.58905000000000007</v>
      </c>
      <c r="BK15" s="80">
        <v>30</v>
      </c>
      <c r="BL15" s="63">
        <f>BK15*BK19/1000*0.45</f>
        <v>0.48194999999999999</v>
      </c>
      <c r="BM15" s="63">
        <f>BK15*BK19/1000*0.55</f>
        <v>0.58905000000000007</v>
      </c>
      <c r="BN15" s="80">
        <v>30</v>
      </c>
      <c r="BO15" s="63">
        <f>BN15*BN19/1000*0.45</f>
        <v>0.48194999999999999</v>
      </c>
      <c r="BP15" s="63">
        <f>BN15*BN19/1000*0.55</f>
        <v>0.58905000000000007</v>
      </c>
      <c r="BQ15" s="80">
        <v>30</v>
      </c>
      <c r="BR15" s="63">
        <f>BQ15*BQ19/1000*0.45</f>
        <v>0.48194999999999999</v>
      </c>
      <c r="BS15" s="63">
        <f>BQ15*BQ19/1000*0.55</f>
        <v>0.58905000000000007</v>
      </c>
      <c r="BT15" s="80">
        <v>30</v>
      </c>
      <c r="BU15" s="63">
        <f>BT15*BT19/1000*0.45</f>
        <v>0.48194999999999999</v>
      </c>
      <c r="BV15" s="63">
        <f>BT15*BT19/1000*0.55</f>
        <v>0.58905000000000007</v>
      </c>
      <c r="BW15" s="80">
        <v>30</v>
      </c>
      <c r="BX15" s="63">
        <f>BW15*BW19/1000*0.45</f>
        <v>0.48194999999999999</v>
      </c>
      <c r="BY15" s="63">
        <f>BW15*BW19/1000*0.55</f>
        <v>0.58905000000000007</v>
      </c>
      <c r="BZ15" s="80">
        <v>30</v>
      </c>
      <c r="CA15" s="63">
        <f>BZ15*BZ19/1000*0.45</f>
        <v>0.48194999999999999</v>
      </c>
      <c r="CB15" s="63">
        <f>BZ15*BZ19/1000*0.55</f>
        <v>0.58905000000000007</v>
      </c>
    </row>
    <row r="16" spans="1:80" ht="18" customHeight="1" thickBot="1" x14ac:dyDescent="0.3">
      <c r="A16" s="1026"/>
      <c r="B16" s="1027"/>
      <c r="C16" s="1028"/>
      <c r="D16" s="1033"/>
      <c r="E16" s="1026"/>
      <c r="F16" s="1028"/>
      <c r="G16" s="1023" t="s">
        <v>46</v>
      </c>
      <c r="H16" s="1025"/>
      <c r="I16" s="81">
        <v>30</v>
      </c>
      <c r="J16" s="14">
        <f>I16*I20/1000*0.7</f>
        <v>0.21419999999999997</v>
      </c>
      <c r="K16" s="14">
        <f>I16*I20/1000*0.3</f>
        <v>9.1799999999999993E-2</v>
      </c>
      <c r="L16" s="81">
        <v>30</v>
      </c>
      <c r="M16" s="14">
        <f>L16*L20/1000*0.7</f>
        <v>0.21419999999999997</v>
      </c>
      <c r="N16" s="14">
        <f>L16*L20/1000*0.3</f>
        <v>9.1799999999999993E-2</v>
      </c>
      <c r="O16" s="81">
        <v>30</v>
      </c>
      <c r="P16" s="14">
        <f>O16*O20/1000*0.7</f>
        <v>0.21419999999999997</v>
      </c>
      <c r="Q16" s="14">
        <f>O16*O20/1000*0.3</f>
        <v>9.1799999999999993E-2</v>
      </c>
      <c r="R16" s="81">
        <v>30</v>
      </c>
      <c r="S16" s="14">
        <f>R16*R20/1000*0.7</f>
        <v>0.21419999999999997</v>
      </c>
      <c r="T16" s="14">
        <f>R16*R20/1000*0.3</f>
        <v>9.1799999999999993E-2</v>
      </c>
      <c r="U16" s="81">
        <v>30</v>
      </c>
      <c r="V16" s="14">
        <f>U16*U20/1000*0.7</f>
        <v>0.21419999999999997</v>
      </c>
      <c r="W16" s="14">
        <f>U16*U20/1000*0.3</f>
        <v>9.1799999999999993E-2</v>
      </c>
      <c r="X16" s="81">
        <v>30</v>
      </c>
      <c r="Y16" s="14">
        <f>X16*X20/1000*0.7</f>
        <v>0.21419999999999997</v>
      </c>
      <c r="Z16" s="14">
        <f>X16*X20/1000*0.3</f>
        <v>9.1799999999999993E-2</v>
      </c>
      <c r="AA16" s="81">
        <v>50</v>
      </c>
      <c r="AB16" s="14">
        <f>AA16*AA20/1000*0.7</f>
        <v>0.35699999999999993</v>
      </c>
      <c r="AC16" s="14">
        <f>AA16*AA20/1000*0.3</f>
        <v>0.15299999999999997</v>
      </c>
      <c r="AD16" s="81">
        <v>50</v>
      </c>
      <c r="AE16" s="14">
        <f>AD16*AD20/1000*0.7</f>
        <v>0.35699999999999993</v>
      </c>
      <c r="AF16" s="14">
        <f>AD16*AD20/1000*0.3</f>
        <v>0.15299999999999997</v>
      </c>
      <c r="AG16" s="81">
        <v>50</v>
      </c>
      <c r="AH16" s="14">
        <f>AG16*AG20/1000*0.7</f>
        <v>0.35699999999999993</v>
      </c>
      <c r="AI16" s="14">
        <f>AG16*AG20/1000*0.3</f>
        <v>0.15299999999999997</v>
      </c>
      <c r="AJ16" s="81">
        <v>50</v>
      </c>
      <c r="AK16" s="14">
        <f>AJ16*AJ20/1000*0.7</f>
        <v>0.35699999999999993</v>
      </c>
      <c r="AL16" s="14">
        <f>AJ16*AJ20/1000*0.3</f>
        <v>0.15299999999999997</v>
      </c>
      <c r="AM16" s="81">
        <v>50</v>
      </c>
      <c r="AN16" s="14">
        <f>AM16*AM20/1000*0.7</f>
        <v>0.35699999999999993</v>
      </c>
      <c r="AO16" s="14">
        <f>AM16*AM20/1000*0.3</f>
        <v>0.15299999999999997</v>
      </c>
      <c r="AP16" s="81">
        <v>50</v>
      </c>
      <c r="AQ16" s="14">
        <f>AP16*AP20/1000*0.7</f>
        <v>0.35699999999999993</v>
      </c>
      <c r="AR16" s="14">
        <f>AP16*AP20/1000*0.3</f>
        <v>0.15299999999999997</v>
      </c>
      <c r="AS16" s="81">
        <v>50</v>
      </c>
      <c r="AT16" s="14">
        <f>AS16*AS20/1000*0.7</f>
        <v>0.35699999999999993</v>
      </c>
      <c r="AU16" s="14">
        <f>AS16*AS20/1000*0.3</f>
        <v>0.15299999999999997</v>
      </c>
      <c r="AV16" s="81">
        <v>50</v>
      </c>
      <c r="AW16" s="14">
        <f>AV16*AV20/1000*0.7</f>
        <v>0.35699999999999993</v>
      </c>
      <c r="AX16" s="14">
        <f>AV16*AV20/1000*0.3</f>
        <v>0.15299999999999997</v>
      </c>
      <c r="AY16" s="81">
        <v>50</v>
      </c>
      <c r="AZ16" s="14">
        <f>AY16*AY20/1000*0.7</f>
        <v>0.35699999999999993</v>
      </c>
      <c r="BA16" s="14">
        <f>AY16*AY20/1000*0.3</f>
        <v>0.15299999999999997</v>
      </c>
      <c r="BB16" s="81">
        <v>50</v>
      </c>
      <c r="BC16" s="14">
        <f>BB16*BB20/1000*0.7</f>
        <v>0.35699999999999993</v>
      </c>
      <c r="BD16" s="14">
        <f>BB16*BB20/1000*0.3</f>
        <v>0.15299999999999997</v>
      </c>
      <c r="BE16" s="81">
        <v>50</v>
      </c>
      <c r="BF16" s="14">
        <f>BE16*BE20/1000*0.7</f>
        <v>0.35699999999999993</v>
      </c>
      <c r="BG16" s="14">
        <f>BE16*BE20/1000*0.3</f>
        <v>0.15299999999999997</v>
      </c>
      <c r="BH16" s="81">
        <v>50</v>
      </c>
      <c r="BI16" s="14">
        <f>BH16*BH20/1000*0.7</f>
        <v>0.35699999999999993</v>
      </c>
      <c r="BJ16" s="14">
        <f>BH16*BH20/1000*0.3</f>
        <v>0.15299999999999997</v>
      </c>
      <c r="BK16" s="81">
        <v>50</v>
      </c>
      <c r="BL16" s="14">
        <f>BK16*BK20/1000*0.7</f>
        <v>0.35699999999999993</v>
      </c>
      <c r="BM16" s="14">
        <f>BK16*BK20/1000*0.3</f>
        <v>0.15299999999999997</v>
      </c>
      <c r="BN16" s="81">
        <v>50</v>
      </c>
      <c r="BO16" s="14">
        <f>BN16*BN20/1000*0.7</f>
        <v>0.35699999999999993</v>
      </c>
      <c r="BP16" s="14">
        <f>BN16*BN20/1000*0.3</f>
        <v>0.15299999999999997</v>
      </c>
      <c r="BQ16" s="81">
        <v>50</v>
      </c>
      <c r="BR16" s="14">
        <f>BQ16*BQ20/1000*0.7</f>
        <v>0.35699999999999993</v>
      </c>
      <c r="BS16" s="14">
        <f>BQ16*BQ20/1000*0.3</f>
        <v>0.15299999999999997</v>
      </c>
      <c r="BT16" s="81">
        <v>50</v>
      </c>
      <c r="BU16" s="14">
        <f>BT16*BT20/1000*0.7</f>
        <v>0.35699999999999993</v>
      </c>
      <c r="BV16" s="14">
        <f>BT16*BT20/1000*0.3</f>
        <v>0.15299999999999997</v>
      </c>
      <c r="BW16" s="81">
        <v>50</v>
      </c>
      <c r="BX16" s="14">
        <f>BW16*BW20/1000*0.7</f>
        <v>0.35699999999999993</v>
      </c>
      <c r="BY16" s="14">
        <f>BW16*BW20/1000*0.3</f>
        <v>0.15299999999999997</v>
      </c>
      <c r="BZ16" s="81">
        <v>50</v>
      </c>
      <c r="CA16" s="14">
        <f>BZ16*BZ20/1000*0.7</f>
        <v>0.35699999999999993</v>
      </c>
      <c r="CB16" s="14">
        <f>BZ16*BZ20/1000*0.3</f>
        <v>0.15299999999999997</v>
      </c>
    </row>
    <row r="17" spans="1:80" ht="18" customHeight="1" thickBot="1" x14ac:dyDescent="0.3">
      <c r="A17" s="1026"/>
      <c r="B17" s="1027"/>
      <c r="C17" s="1028"/>
      <c r="D17" s="1033"/>
      <c r="E17" s="1037" t="s">
        <v>15</v>
      </c>
      <c r="F17" s="1038"/>
      <c r="G17" s="1038"/>
      <c r="H17" s="1039"/>
      <c r="I17" s="980">
        <v>3</v>
      </c>
      <c r="J17" s="981"/>
      <c r="K17" s="982"/>
      <c r="L17" s="980">
        <v>3</v>
      </c>
      <c r="M17" s="981"/>
      <c r="N17" s="982"/>
      <c r="O17" s="980">
        <v>3</v>
      </c>
      <c r="P17" s="981"/>
      <c r="Q17" s="982"/>
      <c r="R17" s="980">
        <v>3</v>
      </c>
      <c r="S17" s="981"/>
      <c r="T17" s="982"/>
      <c r="U17" s="980">
        <v>3</v>
      </c>
      <c r="V17" s="981"/>
      <c r="W17" s="982"/>
      <c r="X17" s="980">
        <v>3</v>
      </c>
      <c r="Y17" s="981"/>
      <c r="Z17" s="982"/>
      <c r="AA17" s="980">
        <v>3</v>
      </c>
      <c r="AB17" s="981"/>
      <c r="AC17" s="982"/>
      <c r="AD17" s="980">
        <v>3</v>
      </c>
      <c r="AE17" s="981"/>
      <c r="AF17" s="982"/>
      <c r="AG17" s="980">
        <v>3</v>
      </c>
      <c r="AH17" s="981"/>
      <c r="AI17" s="982"/>
      <c r="AJ17" s="980">
        <v>3</v>
      </c>
      <c r="AK17" s="981"/>
      <c r="AL17" s="982"/>
      <c r="AM17" s="980">
        <v>3</v>
      </c>
      <c r="AN17" s="981"/>
      <c r="AO17" s="982"/>
      <c r="AP17" s="980">
        <v>3</v>
      </c>
      <c r="AQ17" s="981"/>
      <c r="AR17" s="982"/>
      <c r="AS17" s="980">
        <v>3</v>
      </c>
      <c r="AT17" s="981"/>
      <c r="AU17" s="982"/>
      <c r="AV17" s="980">
        <v>3</v>
      </c>
      <c r="AW17" s="981"/>
      <c r="AX17" s="982"/>
      <c r="AY17" s="980">
        <v>3</v>
      </c>
      <c r="AZ17" s="981"/>
      <c r="BA17" s="982"/>
      <c r="BB17" s="980">
        <v>3</v>
      </c>
      <c r="BC17" s="981"/>
      <c r="BD17" s="982"/>
      <c r="BE17" s="980">
        <v>3</v>
      </c>
      <c r="BF17" s="981"/>
      <c r="BG17" s="982"/>
      <c r="BH17" s="980">
        <v>3</v>
      </c>
      <c r="BI17" s="981"/>
      <c r="BJ17" s="982"/>
      <c r="BK17" s="980">
        <v>3</v>
      </c>
      <c r="BL17" s="981"/>
      <c r="BM17" s="982"/>
      <c r="BN17" s="980">
        <v>3</v>
      </c>
      <c r="BO17" s="981"/>
      <c r="BP17" s="982"/>
      <c r="BQ17" s="980">
        <v>3</v>
      </c>
      <c r="BR17" s="981"/>
      <c r="BS17" s="982"/>
      <c r="BT17" s="980">
        <v>3</v>
      </c>
      <c r="BU17" s="981"/>
      <c r="BV17" s="982"/>
      <c r="BW17" s="980">
        <v>3</v>
      </c>
      <c r="BX17" s="981"/>
      <c r="BY17" s="982"/>
      <c r="BZ17" s="980">
        <v>3</v>
      </c>
      <c r="CA17" s="981"/>
      <c r="CB17" s="982"/>
    </row>
    <row r="18" spans="1:80" ht="18" customHeight="1" thickBot="1" x14ac:dyDescent="0.3">
      <c r="A18" s="1026"/>
      <c r="B18" s="1027"/>
      <c r="C18" s="1028"/>
      <c r="D18" s="1033"/>
      <c r="E18" s="1023" t="s">
        <v>14</v>
      </c>
      <c r="F18" s="1025"/>
      <c r="G18" s="1035" t="s">
        <v>44</v>
      </c>
      <c r="H18" s="1036"/>
      <c r="I18" s="998">
        <v>119</v>
      </c>
      <c r="J18" s="999"/>
      <c r="K18" s="1000"/>
      <c r="L18" s="998">
        <v>119</v>
      </c>
      <c r="M18" s="999"/>
      <c r="N18" s="1000"/>
      <c r="O18" s="998">
        <v>119</v>
      </c>
      <c r="P18" s="999"/>
      <c r="Q18" s="1000"/>
      <c r="R18" s="998">
        <v>119</v>
      </c>
      <c r="S18" s="999"/>
      <c r="T18" s="1000"/>
      <c r="U18" s="998">
        <v>119</v>
      </c>
      <c r="V18" s="999"/>
      <c r="W18" s="1000"/>
      <c r="X18" s="998">
        <v>119</v>
      </c>
      <c r="Y18" s="999"/>
      <c r="Z18" s="1000"/>
      <c r="AA18" s="998">
        <v>119</v>
      </c>
      <c r="AB18" s="999"/>
      <c r="AC18" s="1000"/>
      <c r="AD18" s="998">
        <v>119</v>
      </c>
      <c r="AE18" s="999"/>
      <c r="AF18" s="1000"/>
      <c r="AG18" s="998">
        <v>119</v>
      </c>
      <c r="AH18" s="999"/>
      <c r="AI18" s="1000"/>
      <c r="AJ18" s="998">
        <v>119</v>
      </c>
      <c r="AK18" s="999"/>
      <c r="AL18" s="1000"/>
      <c r="AM18" s="998">
        <v>119</v>
      </c>
      <c r="AN18" s="999"/>
      <c r="AO18" s="1000"/>
      <c r="AP18" s="998">
        <v>119</v>
      </c>
      <c r="AQ18" s="999"/>
      <c r="AR18" s="1000"/>
      <c r="AS18" s="998">
        <v>119</v>
      </c>
      <c r="AT18" s="999"/>
      <c r="AU18" s="1000"/>
      <c r="AV18" s="998">
        <v>119</v>
      </c>
      <c r="AW18" s="999"/>
      <c r="AX18" s="1000"/>
      <c r="AY18" s="998">
        <v>119</v>
      </c>
      <c r="AZ18" s="999"/>
      <c r="BA18" s="1000"/>
      <c r="BB18" s="998">
        <v>119</v>
      </c>
      <c r="BC18" s="999"/>
      <c r="BD18" s="1000"/>
      <c r="BE18" s="998">
        <v>119</v>
      </c>
      <c r="BF18" s="999"/>
      <c r="BG18" s="1000"/>
      <c r="BH18" s="998">
        <v>119</v>
      </c>
      <c r="BI18" s="999"/>
      <c r="BJ18" s="1000"/>
      <c r="BK18" s="998">
        <v>119</v>
      </c>
      <c r="BL18" s="999"/>
      <c r="BM18" s="1000"/>
      <c r="BN18" s="998">
        <v>119</v>
      </c>
      <c r="BO18" s="999"/>
      <c r="BP18" s="1000"/>
      <c r="BQ18" s="998">
        <v>119</v>
      </c>
      <c r="BR18" s="999"/>
      <c r="BS18" s="1000"/>
      <c r="BT18" s="998">
        <v>119</v>
      </c>
      <c r="BU18" s="999"/>
      <c r="BV18" s="1000"/>
      <c r="BW18" s="998">
        <v>119</v>
      </c>
      <c r="BX18" s="999"/>
      <c r="BY18" s="1000"/>
      <c r="BZ18" s="998">
        <v>119</v>
      </c>
      <c r="CA18" s="999"/>
      <c r="CB18" s="1000"/>
    </row>
    <row r="19" spans="1:80" ht="18" customHeight="1" thickBot="1" x14ac:dyDescent="0.3">
      <c r="A19" s="1026"/>
      <c r="B19" s="1027"/>
      <c r="C19" s="1028"/>
      <c r="D19" s="1033"/>
      <c r="E19" s="1026"/>
      <c r="F19" s="1028"/>
      <c r="G19" s="1035" t="s">
        <v>45</v>
      </c>
      <c r="H19" s="1036"/>
      <c r="I19" s="995">
        <v>35.700000000000003</v>
      </c>
      <c r="J19" s="996"/>
      <c r="K19" s="997"/>
      <c r="L19" s="995">
        <v>35.700000000000003</v>
      </c>
      <c r="M19" s="996"/>
      <c r="N19" s="997"/>
      <c r="O19" s="995">
        <v>35.700000000000003</v>
      </c>
      <c r="P19" s="996"/>
      <c r="Q19" s="997"/>
      <c r="R19" s="995">
        <v>35.700000000000003</v>
      </c>
      <c r="S19" s="996"/>
      <c r="T19" s="997"/>
      <c r="U19" s="995">
        <v>35.700000000000003</v>
      </c>
      <c r="V19" s="996"/>
      <c r="W19" s="997"/>
      <c r="X19" s="995">
        <v>35.700000000000003</v>
      </c>
      <c r="Y19" s="996"/>
      <c r="Z19" s="997"/>
      <c r="AA19" s="995">
        <v>35.700000000000003</v>
      </c>
      <c r="AB19" s="996"/>
      <c r="AC19" s="997"/>
      <c r="AD19" s="995">
        <v>35.700000000000003</v>
      </c>
      <c r="AE19" s="996"/>
      <c r="AF19" s="997"/>
      <c r="AG19" s="995">
        <v>35.700000000000003</v>
      </c>
      <c r="AH19" s="996"/>
      <c r="AI19" s="997"/>
      <c r="AJ19" s="995">
        <v>35.700000000000003</v>
      </c>
      <c r="AK19" s="996"/>
      <c r="AL19" s="997"/>
      <c r="AM19" s="995">
        <v>35.700000000000003</v>
      </c>
      <c r="AN19" s="996"/>
      <c r="AO19" s="997"/>
      <c r="AP19" s="995">
        <v>35.700000000000003</v>
      </c>
      <c r="AQ19" s="996"/>
      <c r="AR19" s="997"/>
      <c r="AS19" s="995">
        <v>35.700000000000003</v>
      </c>
      <c r="AT19" s="996"/>
      <c r="AU19" s="997"/>
      <c r="AV19" s="995">
        <v>35.700000000000003</v>
      </c>
      <c r="AW19" s="996"/>
      <c r="AX19" s="997"/>
      <c r="AY19" s="995">
        <v>35.700000000000003</v>
      </c>
      <c r="AZ19" s="996"/>
      <c r="BA19" s="997"/>
      <c r="BB19" s="995">
        <v>35.700000000000003</v>
      </c>
      <c r="BC19" s="996"/>
      <c r="BD19" s="997"/>
      <c r="BE19" s="995">
        <v>35.700000000000003</v>
      </c>
      <c r="BF19" s="996"/>
      <c r="BG19" s="997"/>
      <c r="BH19" s="995">
        <v>35.700000000000003</v>
      </c>
      <c r="BI19" s="996"/>
      <c r="BJ19" s="997"/>
      <c r="BK19" s="995">
        <v>35.700000000000003</v>
      </c>
      <c r="BL19" s="996"/>
      <c r="BM19" s="997"/>
      <c r="BN19" s="995">
        <v>35.700000000000003</v>
      </c>
      <c r="BO19" s="996"/>
      <c r="BP19" s="997"/>
      <c r="BQ19" s="995">
        <v>35.700000000000003</v>
      </c>
      <c r="BR19" s="996"/>
      <c r="BS19" s="997"/>
      <c r="BT19" s="995">
        <v>35.700000000000003</v>
      </c>
      <c r="BU19" s="996"/>
      <c r="BV19" s="997"/>
      <c r="BW19" s="995">
        <v>35.700000000000003</v>
      </c>
      <c r="BX19" s="996"/>
      <c r="BY19" s="997"/>
      <c r="BZ19" s="995">
        <v>35.700000000000003</v>
      </c>
      <c r="CA19" s="996"/>
      <c r="CB19" s="997"/>
    </row>
    <row r="20" spans="1:80" ht="18" customHeight="1" thickBot="1" x14ac:dyDescent="0.3">
      <c r="A20" s="1026"/>
      <c r="B20" s="1027"/>
      <c r="C20" s="1028"/>
      <c r="D20" s="1033"/>
      <c r="E20" s="1026"/>
      <c r="F20" s="1028"/>
      <c r="G20" s="1023" t="s">
        <v>46</v>
      </c>
      <c r="H20" s="1025"/>
      <c r="I20" s="985">
        <v>10.199999999999999</v>
      </c>
      <c r="J20" s="988"/>
      <c r="K20" s="991"/>
      <c r="L20" s="985">
        <v>10.199999999999999</v>
      </c>
      <c r="M20" s="988"/>
      <c r="N20" s="991"/>
      <c r="O20" s="985">
        <v>10.199999999999999</v>
      </c>
      <c r="P20" s="988"/>
      <c r="Q20" s="991"/>
      <c r="R20" s="985">
        <v>10.199999999999999</v>
      </c>
      <c r="S20" s="988"/>
      <c r="T20" s="991"/>
      <c r="U20" s="985">
        <v>10.199999999999999</v>
      </c>
      <c r="V20" s="988"/>
      <c r="W20" s="991"/>
      <c r="X20" s="985">
        <v>10.199999999999999</v>
      </c>
      <c r="Y20" s="988"/>
      <c r="Z20" s="991"/>
      <c r="AA20" s="985">
        <v>10.199999999999999</v>
      </c>
      <c r="AB20" s="988"/>
      <c r="AC20" s="991"/>
      <c r="AD20" s="985">
        <v>10.199999999999999</v>
      </c>
      <c r="AE20" s="988"/>
      <c r="AF20" s="991"/>
      <c r="AG20" s="985">
        <v>10.199999999999999</v>
      </c>
      <c r="AH20" s="988"/>
      <c r="AI20" s="991"/>
      <c r="AJ20" s="985">
        <v>10.199999999999999</v>
      </c>
      <c r="AK20" s="988"/>
      <c r="AL20" s="991"/>
      <c r="AM20" s="985">
        <v>10.199999999999999</v>
      </c>
      <c r="AN20" s="988"/>
      <c r="AO20" s="991"/>
      <c r="AP20" s="985">
        <v>10.199999999999999</v>
      </c>
      <c r="AQ20" s="988"/>
      <c r="AR20" s="991"/>
      <c r="AS20" s="985">
        <v>10.199999999999999</v>
      </c>
      <c r="AT20" s="988"/>
      <c r="AU20" s="991"/>
      <c r="AV20" s="985">
        <v>10.199999999999999</v>
      </c>
      <c r="AW20" s="988"/>
      <c r="AX20" s="991"/>
      <c r="AY20" s="985">
        <v>10.199999999999999</v>
      </c>
      <c r="AZ20" s="988"/>
      <c r="BA20" s="991"/>
      <c r="BB20" s="985">
        <v>10.199999999999999</v>
      </c>
      <c r="BC20" s="988"/>
      <c r="BD20" s="991"/>
      <c r="BE20" s="985">
        <v>10.199999999999999</v>
      </c>
      <c r="BF20" s="988"/>
      <c r="BG20" s="991"/>
      <c r="BH20" s="985">
        <v>10.199999999999999</v>
      </c>
      <c r="BI20" s="988"/>
      <c r="BJ20" s="991"/>
      <c r="BK20" s="985">
        <v>10.199999999999999</v>
      </c>
      <c r="BL20" s="988"/>
      <c r="BM20" s="991"/>
      <c r="BN20" s="985">
        <v>10.199999999999999</v>
      </c>
      <c r="BO20" s="988"/>
      <c r="BP20" s="991"/>
      <c r="BQ20" s="985">
        <v>10.199999999999999</v>
      </c>
      <c r="BR20" s="988"/>
      <c r="BS20" s="991"/>
      <c r="BT20" s="985">
        <v>10.199999999999999</v>
      </c>
      <c r="BU20" s="988"/>
      <c r="BV20" s="991"/>
      <c r="BW20" s="985">
        <v>10.199999999999999</v>
      </c>
      <c r="BX20" s="988"/>
      <c r="BY20" s="991"/>
      <c r="BZ20" s="985">
        <v>10.199999999999999</v>
      </c>
      <c r="CA20" s="988"/>
      <c r="CB20" s="991"/>
    </row>
    <row r="21" spans="1:80" ht="18" customHeight="1" thickBot="1" x14ac:dyDescent="0.3">
      <c r="A21" s="1029"/>
      <c r="B21" s="1030"/>
      <c r="C21" s="1031"/>
      <c r="D21" s="1034"/>
      <c r="E21" s="1037" t="s">
        <v>31</v>
      </c>
      <c r="F21" s="1038"/>
      <c r="G21" s="1038"/>
      <c r="H21" s="1039"/>
      <c r="I21" s="980"/>
      <c r="J21" s="981"/>
      <c r="K21" s="982"/>
      <c r="L21" s="980"/>
      <c r="M21" s="981"/>
      <c r="N21" s="982"/>
      <c r="O21" s="980"/>
      <c r="P21" s="981"/>
      <c r="Q21" s="982"/>
      <c r="R21" s="980"/>
      <c r="S21" s="981"/>
      <c r="T21" s="982"/>
      <c r="U21" s="980"/>
      <c r="V21" s="981"/>
      <c r="W21" s="982"/>
      <c r="X21" s="980"/>
      <c r="Y21" s="981"/>
      <c r="Z21" s="982"/>
      <c r="AA21" s="980"/>
      <c r="AB21" s="981"/>
      <c r="AC21" s="982"/>
      <c r="AD21" s="980"/>
      <c r="AE21" s="981"/>
      <c r="AF21" s="982"/>
      <c r="AG21" s="980"/>
      <c r="AH21" s="981"/>
      <c r="AI21" s="982"/>
      <c r="AJ21" s="980"/>
      <c r="AK21" s="981"/>
      <c r="AL21" s="982"/>
      <c r="AM21" s="980"/>
      <c r="AN21" s="981"/>
      <c r="AO21" s="982"/>
      <c r="AP21" s="980"/>
      <c r="AQ21" s="981"/>
      <c r="AR21" s="982"/>
      <c r="AS21" s="980"/>
      <c r="AT21" s="981"/>
      <c r="AU21" s="982"/>
      <c r="AV21" s="980"/>
      <c r="AW21" s="981"/>
      <c r="AX21" s="982"/>
      <c r="AY21" s="980"/>
      <c r="AZ21" s="981"/>
      <c r="BA21" s="982"/>
      <c r="BB21" s="980"/>
      <c r="BC21" s="981"/>
      <c r="BD21" s="982"/>
      <c r="BE21" s="980"/>
      <c r="BF21" s="981"/>
      <c r="BG21" s="982"/>
      <c r="BH21" s="980"/>
      <c r="BI21" s="981"/>
      <c r="BJ21" s="982"/>
      <c r="BK21" s="980"/>
      <c r="BL21" s="981"/>
      <c r="BM21" s="982"/>
      <c r="BN21" s="980"/>
      <c r="BO21" s="981"/>
      <c r="BP21" s="982"/>
      <c r="BQ21" s="980"/>
      <c r="BR21" s="981"/>
      <c r="BS21" s="982"/>
      <c r="BT21" s="980"/>
      <c r="BU21" s="981"/>
      <c r="BV21" s="982"/>
      <c r="BW21" s="980"/>
      <c r="BX21" s="981"/>
      <c r="BY21" s="982"/>
      <c r="BZ21" s="980"/>
      <c r="CA21" s="981"/>
      <c r="CB21" s="982"/>
    </row>
    <row r="22" spans="1:80" ht="18" customHeight="1" thickBot="1" x14ac:dyDescent="0.3">
      <c r="A22" s="1023" t="s">
        <v>16</v>
      </c>
      <c r="B22" s="1024"/>
      <c r="C22" s="1025"/>
      <c r="D22" s="1032">
        <v>40</v>
      </c>
      <c r="E22" s="1023" t="s">
        <v>13</v>
      </c>
      <c r="F22" s="1025"/>
      <c r="G22" s="1035" t="s">
        <v>44</v>
      </c>
      <c r="H22" s="1036"/>
      <c r="I22" s="77">
        <v>0</v>
      </c>
      <c r="J22" s="39">
        <f>I22*I26/1000*0.36</f>
        <v>0</v>
      </c>
      <c r="K22" s="87">
        <f>I22*I26/1000*0.64</f>
        <v>0</v>
      </c>
      <c r="L22" s="77">
        <v>0</v>
      </c>
      <c r="M22" s="39">
        <f>L22*L26/1000*0.36</f>
        <v>0</v>
      </c>
      <c r="N22" s="87">
        <f>L22*L26/1000*0.64</f>
        <v>0</v>
      </c>
      <c r="O22" s="77">
        <v>0</v>
      </c>
      <c r="P22" s="39">
        <f>O22*O26/1000*0.36</f>
        <v>0</v>
      </c>
      <c r="Q22" s="87">
        <f>O22*O26/1000*0.64</f>
        <v>0</v>
      </c>
      <c r="R22" s="77">
        <v>0</v>
      </c>
      <c r="S22" s="39">
        <f>R22*R26/1000*0.36</f>
        <v>0</v>
      </c>
      <c r="T22" s="87">
        <f>R22*R26/1000*0.64</f>
        <v>0</v>
      </c>
      <c r="U22" s="77">
        <v>0</v>
      </c>
      <c r="V22" s="39">
        <f>U22*U26/1000*0.36</f>
        <v>0</v>
      </c>
      <c r="W22" s="87">
        <f>U22*U26/1000*0.64</f>
        <v>0</v>
      </c>
      <c r="X22" s="77">
        <v>0</v>
      </c>
      <c r="Y22" s="39">
        <f>X22*X26/1000*0.36</f>
        <v>0</v>
      </c>
      <c r="Z22" s="87">
        <f>X22*X26/1000*0.64</f>
        <v>0</v>
      </c>
      <c r="AA22" s="77">
        <v>0</v>
      </c>
      <c r="AB22" s="39">
        <f>AA22*AA26/1000*0.36</f>
        <v>0</v>
      </c>
      <c r="AC22" s="87">
        <f>AA22*AA26/1000*0.64</f>
        <v>0</v>
      </c>
      <c r="AD22" s="77">
        <v>0</v>
      </c>
      <c r="AE22" s="39">
        <f>AD22*AD26/1000*0.36</f>
        <v>0</v>
      </c>
      <c r="AF22" s="87">
        <f>AD22*AD26/1000*0.64</f>
        <v>0</v>
      </c>
      <c r="AG22" s="77">
        <v>0</v>
      </c>
      <c r="AH22" s="39">
        <f>AG22*AG26/1000*0.36</f>
        <v>0</v>
      </c>
      <c r="AI22" s="87">
        <f>AG22*AG26/1000*0.64</f>
        <v>0</v>
      </c>
      <c r="AJ22" s="77">
        <v>0</v>
      </c>
      <c r="AK22" s="39">
        <f>AJ22*AJ26/1000*0.36</f>
        <v>0</v>
      </c>
      <c r="AL22" s="87">
        <f>AJ22*AJ26/1000*0.64</f>
        <v>0</v>
      </c>
      <c r="AM22" s="77">
        <v>0</v>
      </c>
      <c r="AN22" s="39">
        <f>AM22*AM26/1000*0.36</f>
        <v>0</v>
      </c>
      <c r="AO22" s="87">
        <f>AM22*AM26/1000*0.64</f>
        <v>0</v>
      </c>
      <c r="AP22" s="77">
        <v>0</v>
      </c>
      <c r="AQ22" s="39">
        <f>AP22*AP26/1000*0.36</f>
        <v>0</v>
      </c>
      <c r="AR22" s="87">
        <f>AP22*AP26/1000*0.64</f>
        <v>0</v>
      </c>
      <c r="AS22" s="77">
        <v>0</v>
      </c>
      <c r="AT22" s="39">
        <f>AS22*AS26/1000*0.36</f>
        <v>0</v>
      </c>
      <c r="AU22" s="87">
        <f>AS22*AS26/1000*0.64</f>
        <v>0</v>
      </c>
      <c r="AV22" s="77">
        <v>0</v>
      </c>
      <c r="AW22" s="39">
        <f>AV22*AV26/1000*0.36</f>
        <v>0</v>
      </c>
      <c r="AX22" s="87">
        <f>AV22*AV26/1000*0.64</f>
        <v>0</v>
      </c>
      <c r="AY22" s="77">
        <v>0</v>
      </c>
      <c r="AZ22" s="39">
        <f>AY22*AY26/1000*0.36</f>
        <v>0</v>
      </c>
      <c r="BA22" s="87">
        <f>AY22*AY26/1000*0.64</f>
        <v>0</v>
      </c>
      <c r="BB22" s="77">
        <v>0</v>
      </c>
      <c r="BC22" s="39">
        <f>BB22*BB26/1000*0.36</f>
        <v>0</v>
      </c>
      <c r="BD22" s="87">
        <f>BB22*BB26/1000*0.64</f>
        <v>0</v>
      </c>
      <c r="BE22" s="77">
        <v>0</v>
      </c>
      <c r="BF22" s="39">
        <f>BE22*BE26/1000*0.36</f>
        <v>0</v>
      </c>
      <c r="BG22" s="87">
        <f>BE22*BE26/1000*0.64</f>
        <v>0</v>
      </c>
      <c r="BH22" s="77">
        <v>0</v>
      </c>
      <c r="BI22" s="39">
        <f>BH22*BH26/1000*0.36</f>
        <v>0</v>
      </c>
      <c r="BJ22" s="87">
        <f>BH22*BH26/1000*0.64</f>
        <v>0</v>
      </c>
      <c r="BK22" s="77">
        <v>0</v>
      </c>
      <c r="BL22" s="39">
        <f>BK22*BK26/1000*0.36</f>
        <v>0</v>
      </c>
      <c r="BM22" s="87">
        <f>BK22*BK26/1000*0.64</f>
        <v>0</v>
      </c>
      <c r="BN22" s="77">
        <v>0</v>
      </c>
      <c r="BO22" s="39">
        <f>BN22*BN26/1000*0.36</f>
        <v>0</v>
      </c>
      <c r="BP22" s="87">
        <f>BN22*BN26/1000*0.64</f>
        <v>0</v>
      </c>
      <c r="BQ22" s="77">
        <v>0</v>
      </c>
      <c r="BR22" s="39">
        <f>BQ22*BQ26/1000*0.36</f>
        <v>0</v>
      </c>
      <c r="BS22" s="87">
        <f>BQ22*BQ26/1000*0.64</f>
        <v>0</v>
      </c>
      <c r="BT22" s="77">
        <v>0</v>
      </c>
      <c r="BU22" s="39">
        <f>BT22*BT26/1000*0.36</f>
        <v>0</v>
      </c>
      <c r="BV22" s="87">
        <f>BT22*BT26/1000*0.64</f>
        <v>0</v>
      </c>
      <c r="BW22" s="77">
        <v>0</v>
      </c>
      <c r="BX22" s="39">
        <f>BW22*BW26/1000*0.36</f>
        <v>0</v>
      </c>
      <c r="BY22" s="87">
        <f>BW22*BW26/1000*0.64</f>
        <v>0</v>
      </c>
      <c r="BZ22" s="77">
        <v>0</v>
      </c>
      <c r="CA22" s="39">
        <f>BZ22*BZ26/1000*0.36</f>
        <v>0</v>
      </c>
      <c r="CB22" s="87">
        <f>BZ22*BZ26/1000*0.64</f>
        <v>0</v>
      </c>
    </row>
    <row r="23" spans="1:80" ht="18" customHeight="1" thickBot="1" x14ac:dyDescent="0.3">
      <c r="A23" s="1026"/>
      <c r="B23" s="1027"/>
      <c r="C23" s="1028"/>
      <c r="D23" s="1033"/>
      <c r="E23" s="1026"/>
      <c r="F23" s="1028"/>
      <c r="G23" s="1035" t="s">
        <v>45</v>
      </c>
      <c r="H23" s="1036"/>
      <c r="I23" s="80">
        <v>0</v>
      </c>
      <c r="J23" s="63">
        <f>I23*I27/1000*0.45</f>
        <v>0</v>
      </c>
      <c r="K23" s="63">
        <f>I23*I27/1000*0.55</f>
        <v>0</v>
      </c>
      <c r="L23" s="80">
        <v>0</v>
      </c>
      <c r="M23" s="63">
        <f>L23*L27/1000*0.45</f>
        <v>0</v>
      </c>
      <c r="N23" s="63">
        <f>L23*L27/1000*0.55</f>
        <v>0</v>
      </c>
      <c r="O23" s="80">
        <v>0</v>
      </c>
      <c r="P23" s="63">
        <f>O23*O27/1000*0.45</f>
        <v>0</v>
      </c>
      <c r="Q23" s="63">
        <f>O23*O27/1000*0.55</f>
        <v>0</v>
      </c>
      <c r="R23" s="80">
        <v>0</v>
      </c>
      <c r="S23" s="63">
        <f>R23*R27/1000*0.45</f>
        <v>0</v>
      </c>
      <c r="T23" s="63">
        <f>R23*R27/1000*0.55</f>
        <v>0</v>
      </c>
      <c r="U23" s="80">
        <v>0</v>
      </c>
      <c r="V23" s="63">
        <f>U23*U27/1000*0.45</f>
        <v>0</v>
      </c>
      <c r="W23" s="63">
        <f>U23*U27/1000*0.55</f>
        <v>0</v>
      </c>
      <c r="X23" s="80">
        <v>0</v>
      </c>
      <c r="Y23" s="63">
        <f>X23*X27/1000*0.45</f>
        <v>0</v>
      </c>
      <c r="Z23" s="63">
        <f>X23*X27/1000*0.55</f>
        <v>0</v>
      </c>
      <c r="AA23" s="80">
        <v>0</v>
      </c>
      <c r="AB23" s="63">
        <f>AA23*AA27/1000*0.45</f>
        <v>0</v>
      </c>
      <c r="AC23" s="63">
        <f>AA23*AA27/1000*0.55</f>
        <v>0</v>
      </c>
      <c r="AD23" s="80">
        <v>0</v>
      </c>
      <c r="AE23" s="63">
        <f>AD23*AD27/1000*0.45</f>
        <v>0</v>
      </c>
      <c r="AF23" s="63">
        <f>AD23*AD27/1000*0.55</f>
        <v>0</v>
      </c>
      <c r="AG23" s="80">
        <v>0</v>
      </c>
      <c r="AH23" s="63">
        <f>AG23*AG27/1000*0.45</f>
        <v>0</v>
      </c>
      <c r="AI23" s="63">
        <f>AG23*AG27/1000*0.55</f>
        <v>0</v>
      </c>
      <c r="AJ23" s="80">
        <v>0</v>
      </c>
      <c r="AK23" s="63">
        <f>AJ23*AJ27/1000*0.45</f>
        <v>0</v>
      </c>
      <c r="AL23" s="63">
        <f>AJ23*AJ27/1000*0.55</f>
        <v>0</v>
      </c>
      <c r="AM23" s="80">
        <v>0</v>
      </c>
      <c r="AN23" s="63">
        <f>AM23*AM27/1000*0.45</f>
        <v>0</v>
      </c>
      <c r="AO23" s="63">
        <f>AM23*AM27/1000*0.55</f>
        <v>0</v>
      </c>
      <c r="AP23" s="80">
        <v>0</v>
      </c>
      <c r="AQ23" s="63">
        <f>AP23*AP27/1000*0.45</f>
        <v>0</v>
      </c>
      <c r="AR23" s="63">
        <f>AP23*AP27/1000*0.55</f>
        <v>0</v>
      </c>
      <c r="AS23" s="80">
        <v>20</v>
      </c>
      <c r="AT23" s="63">
        <f>AS23*AS27/1000*0.45</f>
        <v>0.32129999999999997</v>
      </c>
      <c r="AU23" s="63">
        <f>AS23*AS27/1000*0.55</f>
        <v>0.39269999999999999</v>
      </c>
      <c r="AV23" s="80">
        <v>20</v>
      </c>
      <c r="AW23" s="63">
        <f>AV23*AV27/1000*0.45</f>
        <v>0.32129999999999997</v>
      </c>
      <c r="AX23" s="63">
        <f>AV23*AV27/1000*0.55</f>
        <v>0.39269999999999999</v>
      </c>
      <c r="AY23" s="80">
        <v>20</v>
      </c>
      <c r="AZ23" s="63">
        <f>AY23*AY27/1000*0.45</f>
        <v>0.32129999999999997</v>
      </c>
      <c r="BA23" s="63">
        <f>AY23*AY27/1000*0.55</f>
        <v>0.39269999999999999</v>
      </c>
      <c r="BB23" s="80">
        <v>20</v>
      </c>
      <c r="BC23" s="63">
        <f>BB23*BB27/1000*0.45</f>
        <v>0.32129999999999997</v>
      </c>
      <c r="BD23" s="63">
        <f>BB23*BB27/1000*0.55</f>
        <v>0.39269999999999999</v>
      </c>
      <c r="BE23" s="80">
        <v>20</v>
      </c>
      <c r="BF23" s="63">
        <f>BE23*BE27/1000*0.45</f>
        <v>0.32129999999999997</v>
      </c>
      <c r="BG23" s="63">
        <f>BE23*BE27/1000*0.55</f>
        <v>0.39269999999999999</v>
      </c>
      <c r="BH23" s="80">
        <v>20</v>
      </c>
      <c r="BI23" s="63">
        <f>BH23*BH27/1000*0.45</f>
        <v>0.32129999999999997</v>
      </c>
      <c r="BJ23" s="63">
        <f>BH23*BH27/1000*0.55</f>
        <v>0.39269999999999999</v>
      </c>
      <c r="BK23" s="80">
        <v>20</v>
      </c>
      <c r="BL23" s="63">
        <f>BK23*BK27/1000*0.45</f>
        <v>0.32129999999999997</v>
      </c>
      <c r="BM23" s="63">
        <f>BK23*BK27/1000*0.55</f>
        <v>0.39269999999999999</v>
      </c>
      <c r="BN23" s="80">
        <v>20</v>
      </c>
      <c r="BO23" s="63">
        <f>BN23*BN27/1000*0.45</f>
        <v>0.32129999999999997</v>
      </c>
      <c r="BP23" s="63">
        <f>BN23*BN27/1000*0.55</f>
        <v>0.39269999999999999</v>
      </c>
      <c r="BQ23" s="80">
        <v>20</v>
      </c>
      <c r="BR23" s="63">
        <f>BQ23*BQ27/1000*0.45</f>
        <v>0.32129999999999997</v>
      </c>
      <c r="BS23" s="63">
        <f>BQ23*BQ27/1000*0.55</f>
        <v>0.39269999999999999</v>
      </c>
      <c r="BT23" s="80">
        <v>0</v>
      </c>
      <c r="BU23" s="63">
        <f>BT23*BT27/1000*0.45</f>
        <v>0</v>
      </c>
      <c r="BV23" s="63">
        <f>BT23*BT27/1000*0.55</f>
        <v>0</v>
      </c>
      <c r="BW23" s="80">
        <v>0</v>
      </c>
      <c r="BX23" s="63">
        <f>BW23*BW27/1000*0.45</f>
        <v>0</v>
      </c>
      <c r="BY23" s="63">
        <f>BW23*BW27/1000*0.55</f>
        <v>0</v>
      </c>
      <c r="BZ23" s="80">
        <v>0</v>
      </c>
      <c r="CA23" s="63">
        <f>BZ23*BZ27/1000*0.45</f>
        <v>0</v>
      </c>
      <c r="CB23" s="63">
        <f>BZ23*BZ27/1000*0.55</f>
        <v>0</v>
      </c>
    </row>
    <row r="24" spans="1:80" ht="18" customHeight="1" thickBot="1" x14ac:dyDescent="0.3">
      <c r="A24" s="1026"/>
      <c r="B24" s="1027"/>
      <c r="C24" s="1028"/>
      <c r="D24" s="1033"/>
      <c r="E24" s="1029"/>
      <c r="F24" s="1031"/>
      <c r="G24" s="1023" t="s">
        <v>46</v>
      </c>
      <c r="H24" s="1025"/>
      <c r="I24" s="81">
        <v>0</v>
      </c>
      <c r="J24" s="14">
        <f>I24*I28/1000*1</f>
        <v>0</v>
      </c>
      <c r="K24" s="14">
        <f>I24*I28/1000*0</f>
        <v>0</v>
      </c>
      <c r="L24" s="81">
        <v>0</v>
      </c>
      <c r="M24" s="14">
        <f>L24*L28/1000*1</f>
        <v>0</v>
      </c>
      <c r="N24" s="14">
        <f>L24*L28/1000*0</f>
        <v>0</v>
      </c>
      <c r="O24" s="81">
        <v>0</v>
      </c>
      <c r="P24" s="14">
        <f>O24*O28/1000*1</f>
        <v>0</v>
      </c>
      <c r="Q24" s="14">
        <f>O24*O28/1000*0</f>
        <v>0</v>
      </c>
      <c r="R24" s="81">
        <v>0</v>
      </c>
      <c r="S24" s="14">
        <f>R24*R28/1000*1</f>
        <v>0</v>
      </c>
      <c r="T24" s="14">
        <f>R24*R28/1000*0</f>
        <v>0</v>
      </c>
      <c r="U24" s="81">
        <v>0</v>
      </c>
      <c r="V24" s="14">
        <f>U24*U28/1000*1</f>
        <v>0</v>
      </c>
      <c r="W24" s="14">
        <f>U24*U28/1000*0</f>
        <v>0</v>
      </c>
      <c r="X24" s="81">
        <v>0</v>
      </c>
      <c r="Y24" s="14">
        <f>X24*X28/1000*1</f>
        <v>0</v>
      </c>
      <c r="Z24" s="14">
        <f>X24*X28/1000*0</f>
        <v>0</v>
      </c>
      <c r="AA24" s="81">
        <v>0</v>
      </c>
      <c r="AB24" s="14">
        <f>AA24*AA28/1000*1</f>
        <v>0</v>
      </c>
      <c r="AC24" s="14">
        <f>AA24*AA28/1000*0</f>
        <v>0</v>
      </c>
      <c r="AD24" s="81">
        <v>0</v>
      </c>
      <c r="AE24" s="14">
        <f>AD24*AD28/1000*1</f>
        <v>0</v>
      </c>
      <c r="AF24" s="14">
        <f>AD24*AD28/1000*0</f>
        <v>0</v>
      </c>
      <c r="AG24" s="81">
        <v>0</v>
      </c>
      <c r="AH24" s="14">
        <f>AG24*AG28/1000*1</f>
        <v>0</v>
      </c>
      <c r="AI24" s="14">
        <f>AG24*AG28/1000*0</f>
        <v>0</v>
      </c>
      <c r="AJ24" s="81">
        <v>0</v>
      </c>
      <c r="AK24" s="14">
        <f>AJ24*AJ28/1000*1</f>
        <v>0</v>
      </c>
      <c r="AL24" s="14">
        <f>AJ24*AJ28/1000*0</f>
        <v>0</v>
      </c>
      <c r="AM24" s="81">
        <v>0</v>
      </c>
      <c r="AN24" s="14">
        <f>AM24*AM28/1000*1</f>
        <v>0</v>
      </c>
      <c r="AO24" s="14">
        <f>AM24*AM28/1000*0</f>
        <v>0</v>
      </c>
      <c r="AP24" s="81">
        <v>0</v>
      </c>
      <c r="AQ24" s="14">
        <f>AP24*AP28/1000*1</f>
        <v>0</v>
      </c>
      <c r="AR24" s="14">
        <f>AP24*AP28/1000*0</f>
        <v>0</v>
      </c>
      <c r="AS24" s="81">
        <v>0</v>
      </c>
      <c r="AT24" s="14">
        <f>AS24*AS28/1000*1</f>
        <v>0</v>
      </c>
      <c r="AU24" s="14">
        <f>AS24*AS28/1000*0</f>
        <v>0</v>
      </c>
      <c r="AV24" s="81">
        <v>0</v>
      </c>
      <c r="AW24" s="14">
        <f>AV24*AV28/1000*1</f>
        <v>0</v>
      </c>
      <c r="AX24" s="14">
        <f>AV24*AV28/1000*0</f>
        <v>0</v>
      </c>
      <c r="AY24" s="81">
        <v>0</v>
      </c>
      <c r="AZ24" s="14">
        <f>AY24*AY28/1000*1</f>
        <v>0</v>
      </c>
      <c r="BA24" s="14">
        <f>AY24*AY28/1000*0</f>
        <v>0</v>
      </c>
      <c r="BB24" s="81">
        <v>0</v>
      </c>
      <c r="BC24" s="14">
        <f>BB24*BB28/1000*1</f>
        <v>0</v>
      </c>
      <c r="BD24" s="14">
        <f>BB24*BB28/1000*0</f>
        <v>0</v>
      </c>
      <c r="BE24" s="81">
        <v>0</v>
      </c>
      <c r="BF24" s="14">
        <f>BE24*BE28/1000*1</f>
        <v>0</v>
      </c>
      <c r="BG24" s="14">
        <f>BE24*BE28/1000*0</f>
        <v>0</v>
      </c>
      <c r="BH24" s="81">
        <v>0</v>
      </c>
      <c r="BI24" s="14">
        <f>BH24*BH28/1000*1</f>
        <v>0</v>
      </c>
      <c r="BJ24" s="14">
        <f>BH24*BH28/1000*0</f>
        <v>0</v>
      </c>
      <c r="BK24" s="81">
        <v>0</v>
      </c>
      <c r="BL24" s="14">
        <f>BK24*BK28/1000*1</f>
        <v>0</v>
      </c>
      <c r="BM24" s="14">
        <f>BK24*BK28/1000*0</f>
        <v>0</v>
      </c>
      <c r="BN24" s="81">
        <v>0</v>
      </c>
      <c r="BO24" s="14">
        <f>BN24*BN28/1000*1</f>
        <v>0</v>
      </c>
      <c r="BP24" s="14">
        <f>BN24*BN28/1000*0</f>
        <v>0</v>
      </c>
      <c r="BQ24" s="81">
        <v>0</v>
      </c>
      <c r="BR24" s="14">
        <f>BQ24*BQ28/1000*1</f>
        <v>0</v>
      </c>
      <c r="BS24" s="14">
        <f>BQ24*BQ28/1000*0</f>
        <v>0</v>
      </c>
      <c r="BT24" s="81">
        <v>0</v>
      </c>
      <c r="BU24" s="14">
        <f>BT24*BT28/1000*1</f>
        <v>0</v>
      </c>
      <c r="BV24" s="14">
        <f>BT24*BT28/1000*0</f>
        <v>0</v>
      </c>
      <c r="BW24" s="81">
        <v>0</v>
      </c>
      <c r="BX24" s="14">
        <f>BW24*BW28/1000*1</f>
        <v>0</v>
      </c>
      <c r="BY24" s="14">
        <f>BW24*BW28/1000*0</f>
        <v>0</v>
      </c>
      <c r="BZ24" s="81">
        <v>0</v>
      </c>
      <c r="CA24" s="14">
        <f>BZ24*BZ28/1000*1</f>
        <v>0</v>
      </c>
      <c r="CB24" s="14">
        <f>BZ24*BZ28/1000*0</f>
        <v>0</v>
      </c>
    </row>
    <row r="25" spans="1:80" ht="18" customHeight="1" thickBot="1" x14ac:dyDescent="0.3">
      <c r="A25" s="1026"/>
      <c r="B25" s="1027"/>
      <c r="C25" s="1028"/>
      <c r="D25" s="1033"/>
      <c r="E25" s="1037" t="s">
        <v>15</v>
      </c>
      <c r="F25" s="1038"/>
      <c r="G25" s="1038"/>
      <c r="H25" s="1039"/>
      <c r="I25" s="980">
        <v>3</v>
      </c>
      <c r="J25" s="981"/>
      <c r="K25" s="982"/>
      <c r="L25" s="980">
        <v>3</v>
      </c>
      <c r="M25" s="981"/>
      <c r="N25" s="982"/>
      <c r="O25" s="980">
        <v>3</v>
      </c>
      <c r="P25" s="981"/>
      <c r="Q25" s="982"/>
      <c r="R25" s="980">
        <v>3</v>
      </c>
      <c r="S25" s="981"/>
      <c r="T25" s="982"/>
      <c r="U25" s="980">
        <v>3</v>
      </c>
      <c r="V25" s="981"/>
      <c r="W25" s="982"/>
      <c r="X25" s="980">
        <v>3</v>
      </c>
      <c r="Y25" s="981"/>
      <c r="Z25" s="982"/>
      <c r="AA25" s="980">
        <v>3</v>
      </c>
      <c r="AB25" s="981"/>
      <c r="AC25" s="982"/>
      <c r="AD25" s="980">
        <v>3</v>
      </c>
      <c r="AE25" s="981"/>
      <c r="AF25" s="982"/>
      <c r="AG25" s="980">
        <v>3</v>
      </c>
      <c r="AH25" s="981"/>
      <c r="AI25" s="982"/>
      <c r="AJ25" s="980">
        <v>3</v>
      </c>
      <c r="AK25" s="981"/>
      <c r="AL25" s="982"/>
      <c r="AM25" s="980">
        <v>3</v>
      </c>
      <c r="AN25" s="981"/>
      <c r="AO25" s="982"/>
      <c r="AP25" s="980">
        <v>3</v>
      </c>
      <c r="AQ25" s="981"/>
      <c r="AR25" s="982"/>
      <c r="AS25" s="980">
        <v>3</v>
      </c>
      <c r="AT25" s="981"/>
      <c r="AU25" s="982"/>
      <c r="AV25" s="980">
        <v>3</v>
      </c>
      <c r="AW25" s="981"/>
      <c r="AX25" s="982"/>
      <c r="AY25" s="980">
        <v>3</v>
      </c>
      <c r="AZ25" s="981"/>
      <c r="BA25" s="982"/>
      <c r="BB25" s="980">
        <v>3</v>
      </c>
      <c r="BC25" s="981"/>
      <c r="BD25" s="982"/>
      <c r="BE25" s="980">
        <v>3</v>
      </c>
      <c r="BF25" s="981"/>
      <c r="BG25" s="982"/>
      <c r="BH25" s="980">
        <v>3</v>
      </c>
      <c r="BI25" s="981"/>
      <c r="BJ25" s="982"/>
      <c r="BK25" s="980">
        <v>3</v>
      </c>
      <c r="BL25" s="981"/>
      <c r="BM25" s="982"/>
      <c r="BN25" s="980">
        <v>3</v>
      </c>
      <c r="BO25" s="981"/>
      <c r="BP25" s="982"/>
      <c r="BQ25" s="980">
        <v>3</v>
      </c>
      <c r="BR25" s="981"/>
      <c r="BS25" s="982"/>
      <c r="BT25" s="980">
        <v>3</v>
      </c>
      <c r="BU25" s="981"/>
      <c r="BV25" s="982"/>
      <c r="BW25" s="980">
        <v>3</v>
      </c>
      <c r="BX25" s="981"/>
      <c r="BY25" s="982"/>
      <c r="BZ25" s="980">
        <v>3</v>
      </c>
      <c r="CA25" s="981"/>
      <c r="CB25" s="982"/>
    </row>
    <row r="26" spans="1:80" ht="18" customHeight="1" thickBot="1" x14ac:dyDescent="0.3">
      <c r="A26" s="1026"/>
      <c r="B26" s="1027"/>
      <c r="C26" s="1028"/>
      <c r="D26" s="1033"/>
      <c r="E26" s="1023" t="s">
        <v>14</v>
      </c>
      <c r="F26" s="1025"/>
      <c r="G26" s="1035" t="s">
        <v>44</v>
      </c>
      <c r="H26" s="1036"/>
      <c r="I26" s="998">
        <v>119</v>
      </c>
      <c r="J26" s="999"/>
      <c r="K26" s="1000"/>
      <c r="L26" s="998">
        <v>119</v>
      </c>
      <c r="M26" s="999"/>
      <c r="N26" s="1000"/>
      <c r="O26" s="998">
        <v>119</v>
      </c>
      <c r="P26" s="999"/>
      <c r="Q26" s="1000"/>
      <c r="R26" s="998">
        <v>119</v>
      </c>
      <c r="S26" s="999"/>
      <c r="T26" s="1000"/>
      <c r="U26" s="998">
        <v>119</v>
      </c>
      <c r="V26" s="999"/>
      <c r="W26" s="1000"/>
      <c r="X26" s="998">
        <v>119</v>
      </c>
      <c r="Y26" s="999"/>
      <c r="Z26" s="1000"/>
      <c r="AA26" s="998">
        <v>119</v>
      </c>
      <c r="AB26" s="999"/>
      <c r="AC26" s="1000"/>
      <c r="AD26" s="998">
        <v>119</v>
      </c>
      <c r="AE26" s="999"/>
      <c r="AF26" s="1000"/>
      <c r="AG26" s="998">
        <v>119</v>
      </c>
      <c r="AH26" s="999"/>
      <c r="AI26" s="1000"/>
      <c r="AJ26" s="998">
        <v>119</v>
      </c>
      <c r="AK26" s="999"/>
      <c r="AL26" s="1000"/>
      <c r="AM26" s="998">
        <v>119</v>
      </c>
      <c r="AN26" s="999"/>
      <c r="AO26" s="1000"/>
      <c r="AP26" s="998">
        <v>119</v>
      </c>
      <c r="AQ26" s="999"/>
      <c r="AR26" s="1000"/>
      <c r="AS26" s="998">
        <v>119</v>
      </c>
      <c r="AT26" s="999"/>
      <c r="AU26" s="1000"/>
      <c r="AV26" s="998">
        <v>119</v>
      </c>
      <c r="AW26" s="999"/>
      <c r="AX26" s="1000"/>
      <c r="AY26" s="998">
        <v>119</v>
      </c>
      <c r="AZ26" s="999"/>
      <c r="BA26" s="1000"/>
      <c r="BB26" s="998">
        <v>119</v>
      </c>
      <c r="BC26" s="999"/>
      <c r="BD26" s="1000"/>
      <c r="BE26" s="998">
        <v>119</v>
      </c>
      <c r="BF26" s="999"/>
      <c r="BG26" s="1000"/>
      <c r="BH26" s="998">
        <v>119</v>
      </c>
      <c r="BI26" s="999"/>
      <c r="BJ26" s="1000"/>
      <c r="BK26" s="998">
        <v>119</v>
      </c>
      <c r="BL26" s="999"/>
      <c r="BM26" s="1000"/>
      <c r="BN26" s="998">
        <v>119</v>
      </c>
      <c r="BO26" s="999"/>
      <c r="BP26" s="1000"/>
      <c r="BQ26" s="998">
        <v>119</v>
      </c>
      <c r="BR26" s="999"/>
      <c r="BS26" s="1000"/>
      <c r="BT26" s="998">
        <v>119</v>
      </c>
      <c r="BU26" s="999"/>
      <c r="BV26" s="1000"/>
      <c r="BW26" s="998">
        <v>119</v>
      </c>
      <c r="BX26" s="999"/>
      <c r="BY26" s="1000"/>
      <c r="BZ26" s="998">
        <v>119</v>
      </c>
      <c r="CA26" s="999"/>
      <c r="CB26" s="1000"/>
    </row>
    <row r="27" spans="1:80" ht="18" customHeight="1" thickBot="1" x14ac:dyDescent="0.3">
      <c r="A27" s="1026"/>
      <c r="B27" s="1027"/>
      <c r="C27" s="1028"/>
      <c r="D27" s="1033"/>
      <c r="E27" s="1026"/>
      <c r="F27" s="1028"/>
      <c r="G27" s="1035" t="s">
        <v>45</v>
      </c>
      <c r="H27" s="1036"/>
      <c r="I27" s="995">
        <v>35.700000000000003</v>
      </c>
      <c r="J27" s="996"/>
      <c r="K27" s="997"/>
      <c r="L27" s="995">
        <v>35.700000000000003</v>
      </c>
      <c r="M27" s="996"/>
      <c r="N27" s="997"/>
      <c r="O27" s="995">
        <v>35.700000000000003</v>
      </c>
      <c r="P27" s="996"/>
      <c r="Q27" s="997"/>
      <c r="R27" s="995">
        <v>35.700000000000003</v>
      </c>
      <c r="S27" s="996"/>
      <c r="T27" s="997"/>
      <c r="U27" s="995">
        <v>35.700000000000003</v>
      </c>
      <c r="V27" s="996"/>
      <c r="W27" s="997"/>
      <c r="X27" s="995">
        <v>35.700000000000003</v>
      </c>
      <c r="Y27" s="996"/>
      <c r="Z27" s="997"/>
      <c r="AA27" s="995">
        <v>35.700000000000003</v>
      </c>
      <c r="AB27" s="996"/>
      <c r="AC27" s="997"/>
      <c r="AD27" s="995">
        <v>35.700000000000003</v>
      </c>
      <c r="AE27" s="996"/>
      <c r="AF27" s="997"/>
      <c r="AG27" s="995">
        <v>35.700000000000003</v>
      </c>
      <c r="AH27" s="996"/>
      <c r="AI27" s="997"/>
      <c r="AJ27" s="995">
        <v>35.700000000000003</v>
      </c>
      <c r="AK27" s="996"/>
      <c r="AL27" s="997"/>
      <c r="AM27" s="995">
        <v>35.700000000000003</v>
      </c>
      <c r="AN27" s="996"/>
      <c r="AO27" s="997"/>
      <c r="AP27" s="995">
        <v>35.700000000000003</v>
      </c>
      <c r="AQ27" s="996"/>
      <c r="AR27" s="997"/>
      <c r="AS27" s="995">
        <v>35.700000000000003</v>
      </c>
      <c r="AT27" s="996"/>
      <c r="AU27" s="997"/>
      <c r="AV27" s="995">
        <v>35.700000000000003</v>
      </c>
      <c r="AW27" s="996"/>
      <c r="AX27" s="997"/>
      <c r="AY27" s="995">
        <v>35.700000000000003</v>
      </c>
      <c r="AZ27" s="996"/>
      <c r="BA27" s="997"/>
      <c r="BB27" s="995">
        <v>35.700000000000003</v>
      </c>
      <c r="BC27" s="996"/>
      <c r="BD27" s="997"/>
      <c r="BE27" s="995">
        <v>35.700000000000003</v>
      </c>
      <c r="BF27" s="996"/>
      <c r="BG27" s="997"/>
      <c r="BH27" s="995">
        <v>35.700000000000003</v>
      </c>
      <c r="BI27" s="996"/>
      <c r="BJ27" s="997"/>
      <c r="BK27" s="995">
        <v>35.700000000000003</v>
      </c>
      <c r="BL27" s="996"/>
      <c r="BM27" s="997"/>
      <c r="BN27" s="995">
        <v>35.700000000000003</v>
      </c>
      <c r="BO27" s="996"/>
      <c r="BP27" s="997"/>
      <c r="BQ27" s="995">
        <v>35.700000000000003</v>
      </c>
      <c r="BR27" s="996"/>
      <c r="BS27" s="997"/>
      <c r="BT27" s="995">
        <v>35.700000000000003</v>
      </c>
      <c r="BU27" s="996"/>
      <c r="BV27" s="997"/>
      <c r="BW27" s="995">
        <v>35.700000000000003</v>
      </c>
      <c r="BX27" s="996"/>
      <c r="BY27" s="997"/>
      <c r="BZ27" s="995">
        <v>35.700000000000003</v>
      </c>
      <c r="CA27" s="996"/>
      <c r="CB27" s="997"/>
    </row>
    <row r="28" spans="1:80" ht="18" customHeight="1" thickBot="1" x14ac:dyDescent="0.3">
      <c r="A28" s="1026"/>
      <c r="B28" s="1027"/>
      <c r="C28" s="1028"/>
      <c r="D28" s="1033"/>
      <c r="E28" s="1029"/>
      <c r="F28" s="1031"/>
      <c r="G28" s="1023" t="s">
        <v>46</v>
      </c>
      <c r="H28" s="1025"/>
      <c r="I28" s="985">
        <v>10.199999999999999</v>
      </c>
      <c r="J28" s="988"/>
      <c r="K28" s="991"/>
      <c r="L28" s="985">
        <v>10.199999999999999</v>
      </c>
      <c r="M28" s="988"/>
      <c r="N28" s="991"/>
      <c r="O28" s="985">
        <v>10.199999999999999</v>
      </c>
      <c r="P28" s="988"/>
      <c r="Q28" s="991"/>
      <c r="R28" s="985">
        <v>10.199999999999999</v>
      </c>
      <c r="S28" s="988"/>
      <c r="T28" s="991"/>
      <c r="U28" s="985">
        <v>10.199999999999999</v>
      </c>
      <c r="V28" s="988"/>
      <c r="W28" s="991"/>
      <c r="X28" s="985">
        <v>10.199999999999999</v>
      </c>
      <c r="Y28" s="988"/>
      <c r="Z28" s="991"/>
      <c r="AA28" s="985">
        <v>10.199999999999999</v>
      </c>
      <c r="AB28" s="988"/>
      <c r="AC28" s="991"/>
      <c r="AD28" s="985">
        <v>10.199999999999999</v>
      </c>
      <c r="AE28" s="988"/>
      <c r="AF28" s="991"/>
      <c r="AG28" s="985">
        <v>10.199999999999999</v>
      </c>
      <c r="AH28" s="988"/>
      <c r="AI28" s="991"/>
      <c r="AJ28" s="985">
        <v>10.199999999999999</v>
      </c>
      <c r="AK28" s="988"/>
      <c r="AL28" s="991"/>
      <c r="AM28" s="985">
        <v>10.199999999999999</v>
      </c>
      <c r="AN28" s="988"/>
      <c r="AO28" s="991"/>
      <c r="AP28" s="985">
        <v>10.199999999999999</v>
      </c>
      <c r="AQ28" s="988"/>
      <c r="AR28" s="991"/>
      <c r="AS28" s="985">
        <v>10.199999999999999</v>
      </c>
      <c r="AT28" s="988"/>
      <c r="AU28" s="991"/>
      <c r="AV28" s="985">
        <v>10.199999999999999</v>
      </c>
      <c r="AW28" s="988"/>
      <c r="AX28" s="991"/>
      <c r="AY28" s="985">
        <v>10.199999999999999</v>
      </c>
      <c r="AZ28" s="988"/>
      <c r="BA28" s="991"/>
      <c r="BB28" s="985">
        <v>10.199999999999999</v>
      </c>
      <c r="BC28" s="988"/>
      <c r="BD28" s="991"/>
      <c r="BE28" s="985">
        <v>10.199999999999999</v>
      </c>
      <c r="BF28" s="988"/>
      <c r="BG28" s="991"/>
      <c r="BH28" s="985">
        <v>10.199999999999999</v>
      </c>
      <c r="BI28" s="988"/>
      <c r="BJ28" s="991"/>
      <c r="BK28" s="985">
        <v>10.199999999999999</v>
      </c>
      <c r="BL28" s="988"/>
      <c r="BM28" s="991"/>
      <c r="BN28" s="985">
        <v>10.199999999999999</v>
      </c>
      <c r="BO28" s="988"/>
      <c r="BP28" s="991"/>
      <c r="BQ28" s="985">
        <v>10.199999999999999</v>
      </c>
      <c r="BR28" s="988"/>
      <c r="BS28" s="991"/>
      <c r="BT28" s="985">
        <v>10.199999999999999</v>
      </c>
      <c r="BU28" s="988"/>
      <c r="BV28" s="991"/>
      <c r="BW28" s="985">
        <v>10.199999999999999</v>
      </c>
      <c r="BX28" s="988"/>
      <c r="BY28" s="991"/>
      <c r="BZ28" s="985">
        <v>10.199999999999999</v>
      </c>
      <c r="CA28" s="988"/>
      <c r="CB28" s="991"/>
    </row>
    <row r="29" spans="1:80" ht="18" customHeight="1" thickBot="1" x14ac:dyDescent="0.3">
      <c r="A29" s="1029"/>
      <c r="B29" s="1030"/>
      <c r="C29" s="1031"/>
      <c r="D29" s="1034"/>
      <c r="E29" s="1037" t="s">
        <v>31</v>
      </c>
      <c r="F29" s="1038"/>
      <c r="G29" s="1038"/>
      <c r="H29" s="1039"/>
      <c r="I29" s="980"/>
      <c r="J29" s="981"/>
      <c r="K29" s="982"/>
      <c r="L29" s="980"/>
      <c r="M29" s="981"/>
      <c r="N29" s="982"/>
      <c r="O29" s="980"/>
      <c r="P29" s="981"/>
      <c r="Q29" s="982"/>
      <c r="R29" s="980"/>
      <c r="S29" s="981"/>
      <c r="T29" s="982"/>
      <c r="U29" s="980"/>
      <c r="V29" s="981"/>
      <c r="W29" s="982"/>
      <c r="X29" s="980"/>
      <c r="Y29" s="981"/>
      <c r="Z29" s="982"/>
      <c r="AA29" s="980"/>
      <c r="AB29" s="981"/>
      <c r="AC29" s="982"/>
      <c r="AD29" s="980"/>
      <c r="AE29" s="981"/>
      <c r="AF29" s="982"/>
      <c r="AG29" s="980"/>
      <c r="AH29" s="981"/>
      <c r="AI29" s="982"/>
      <c r="AJ29" s="980"/>
      <c r="AK29" s="981"/>
      <c r="AL29" s="982"/>
      <c r="AM29" s="980"/>
      <c r="AN29" s="981"/>
      <c r="AO29" s="982"/>
      <c r="AP29" s="980"/>
      <c r="AQ29" s="981"/>
      <c r="AR29" s="982"/>
      <c r="AS29" s="980"/>
      <c r="AT29" s="981"/>
      <c r="AU29" s="982"/>
      <c r="AV29" s="980"/>
      <c r="AW29" s="981"/>
      <c r="AX29" s="982"/>
      <c r="AY29" s="980"/>
      <c r="AZ29" s="981"/>
      <c r="BA29" s="982"/>
      <c r="BB29" s="980"/>
      <c r="BC29" s="981"/>
      <c r="BD29" s="982"/>
      <c r="BE29" s="980"/>
      <c r="BF29" s="981"/>
      <c r="BG29" s="982"/>
      <c r="BH29" s="980"/>
      <c r="BI29" s="981"/>
      <c r="BJ29" s="982"/>
      <c r="BK29" s="980"/>
      <c r="BL29" s="981"/>
      <c r="BM29" s="982"/>
      <c r="BN29" s="980"/>
      <c r="BO29" s="981"/>
      <c r="BP29" s="982"/>
      <c r="BQ29" s="980"/>
      <c r="BR29" s="981"/>
      <c r="BS29" s="982"/>
      <c r="BT29" s="980"/>
      <c r="BU29" s="981"/>
      <c r="BV29" s="982"/>
      <c r="BW29" s="980"/>
      <c r="BX29" s="981"/>
      <c r="BY29" s="982"/>
      <c r="BZ29" s="980"/>
      <c r="CA29" s="981"/>
      <c r="CB29" s="982"/>
    </row>
    <row r="30" spans="1:80" ht="6.75" customHeight="1" x14ac:dyDescent="0.2">
      <c r="A30" s="1023" t="s">
        <v>17</v>
      </c>
      <c r="B30" s="1024"/>
      <c r="C30" s="1025"/>
      <c r="D30" s="1032">
        <v>0.16</v>
      </c>
      <c r="E30" s="1023" t="s">
        <v>13</v>
      </c>
      <c r="F30" s="1025"/>
      <c r="G30" s="1023" t="s">
        <v>47</v>
      </c>
      <c r="H30" s="1024"/>
      <c r="I30" s="983">
        <v>65</v>
      </c>
      <c r="J30" s="986">
        <f>I30*I33/1000000*0.6784</f>
        <v>1.6756480000000001E-2</v>
      </c>
      <c r="K30" s="989">
        <f>I30*I33/1000000*(1-0.6784)</f>
        <v>7.9435199999999991E-3</v>
      </c>
      <c r="L30" s="983">
        <v>65</v>
      </c>
      <c r="M30" s="986">
        <f>L30*L33/1000000*0.6784</f>
        <v>1.6756480000000001E-2</v>
      </c>
      <c r="N30" s="989">
        <f>L30*L33/1000000*(1-0.6784)</f>
        <v>7.9435199999999991E-3</v>
      </c>
      <c r="O30" s="983">
        <v>65</v>
      </c>
      <c r="P30" s="986">
        <f>O30*O33/1000000*0.6784</f>
        <v>1.6756480000000001E-2</v>
      </c>
      <c r="Q30" s="989">
        <f>O30*O33/1000000*(1-0.6784)</f>
        <v>7.9435199999999991E-3</v>
      </c>
      <c r="R30" s="983">
        <v>65</v>
      </c>
      <c r="S30" s="986">
        <f>R30*R33/1000000*0.6784</f>
        <v>1.6756480000000001E-2</v>
      </c>
      <c r="T30" s="989">
        <f>R30*R33/1000000*(1-0.6784)</f>
        <v>7.9435199999999991E-3</v>
      </c>
      <c r="U30" s="983">
        <v>65</v>
      </c>
      <c r="V30" s="986">
        <f>U30*U33/1000000*0.6784</f>
        <v>1.6756480000000001E-2</v>
      </c>
      <c r="W30" s="989">
        <f>U30*U33/1000000*(1-0.6784)</f>
        <v>7.9435199999999991E-3</v>
      </c>
      <c r="X30" s="983">
        <v>65</v>
      </c>
      <c r="Y30" s="986">
        <f>X30*X33/1000000*0.6784</f>
        <v>1.6756480000000001E-2</v>
      </c>
      <c r="Z30" s="989">
        <f>X30*X33/1000000*(1-0.6784)</f>
        <v>7.9435199999999991E-3</v>
      </c>
      <c r="AA30" s="983">
        <v>65</v>
      </c>
      <c r="AB30" s="986">
        <f>AA30*AA33/1000000*0.6784</f>
        <v>1.6756480000000001E-2</v>
      </c>
      <c r="AC30" s="989">
        <f>AA30*AA33/1000000*(1-0.6784)</f>
        <v>7.9435199999999991E-3</v>
      </c>
      <c r="AD30" s="983">
        <v>65</v>
      </c>
      <c r="AE30" s="986">
        <f>AD30*AD33/1000000*0.6784</f>
        <v>1.6756480000000001E-2</v>
      </c>
      <c r="AF30" s="989">
        <f>AD30*AD33/1000000*(1-0.6784)</f>
        <v>7.9435199999999991E-3</v>
      </c>
      <c r="AG30" s="983">
        <v>65</v>
      </c>
      <c r="AH30" s="986">
        <v>0</v>
      </c>
      <c r="AI30" s="989">
        <v>0</v>
      </c>
      <c r="AJ30" s="983">
        <v>65</v>
      </c>
      <c r="AK30" s="986">
        <f>AJ30*AJ33/1000000*0.6784</f>
        <v>1.6756480000000001E-2</v>
      </c>
      <c r="AL30" s="989">
        <f>AJ30*AJ33/1000000*(1-0.6784)</f>
        <v>7.9435199999999991E-3</v>
      </c>
      <c r="AM30" s="983">
        <v>65</v>
      </c>
      <c r="AN30" s="986">
        <f>AM30*AM33/1000000*0.6784</f>
        <v>1.6756480000000001E-2</v>
      </c>
      <c r="AO30" s="989">
        <f>AM30*AM33/1000000*(1-0.6784)</f>
        <v>7.9435199999999991E-3</v>
      </c>
      <c r="AP30" s="983">
        <v>65</v>
      </c>
      <c r="AQ30" s="986">
        <f>AP30*AP33/1000000*0.6784</f>
        <v>1.6756480000000001E-2</v>
      </c>
      <c r="AR30" s="989">
        <f>AP30*AP33/1000000*(1-0.6784)</f>
        <v>7.9435199999999991E-3</v>
      </c>
      <c r="AS30" s="983">
        <v>65</v>
      </c>
      <c r="AT30" s="986">
        <f>AS30*AS33/1000000*0.6784</f>
        <v>1.6756480000000001E-2</v>
      </c>
      <c r="AU30" s="989">
        <f>AS30*AS33/1000000*(1-0.6784)</f>
        <v>7.9435199999999991E-3</v>
      </c>
      <c r="AV30" s="983">
        <v>65</v>
      </c>
      <c r="AW30" s="986">
        <f>AV30*AV33/1000000*0.6784</f>
        <v>1.6756480000000001E-2</v>
      </c>
      <c r="AX30" s="989">
        <f>AV30*AV33/1000000*(1-0.6784)</f>
        <v>7.9435199999999991E-3</v>
      </c>
      <c r="AY30" s="983">
        <v>65</v>
      </c>
      <c r="AZ30" s="986">
        <f>AY30*AY33/1000000*0.6784</f>
        <v>1.6756480000000001E-2</v>
      </c>
      <c r="BA30" s="989">
        <f>AY30*AY33/1000000*(1-0.6784)</f>
        <v>7.9435199999999991E-3</v>
      </c>
      <c r="BB30" s="983">
        <v>65</v>
      </c>
      <c r="BC30" s="986">
        <f>BB30*BB33/1000000*0.6784</f>
        <v>1.6756480000000001E-2</v>
      </c>
      <c r="BD30" s="989">
        <f>BB30*BB33/1000000*(1-0.6784)</f>
        <v>7.9435199999999991E-3</v>
      </c>
      <c r="BE30" s="983">
        <v>65</v>
      </c>
      <c r="BF30" s="986">
        <f>BE30*BE33/1000000*0.6784</f>
        <v>1.6756480000000001E-2</v>
      </c>
      <c r="BG30" s="989">
        <f>BE30*BE33/1000000*(1-0.6784)</f>
        <v>7.9435199999999991E-3</v>
      </c>
      <c r="BH30" s="983">
        <v>65</v>
      </c>
      <c r="BI30" s="986">
        <f>BH30*BH33/1000000*0.6784</f>
        <v>1.6756480000000001E-2</v>
      </c>
      <c r="BJ30" s="989">
        <f>BH30*BH33/1000000*(1-0.6784)</f>
        <v>7.9435199999999991E-3</v>
      </c>
      <c r="BK30" s="983">
        <v>65</v>
      </c>
      <c r="BL30" s="986">
        <f>BK30*BK33/1000000*0.6784</f>
        <v>1.6756480000000001E-2</v>
      </c>
      <c r="BM30" s="989">
        <f>BK30*BK33/1000000*(1-0.6784)</f>
        <v>7.9435199999999991E-3</v>
      </c>
      <c r="BN30" s="983">
        <v>65</v>
      </c>
      <c r="BO30" s="986">
        <f>BN30*BN33/1000000*0.6784</f>
        <v>1.6756480000000001E-2</v>
      </c>
      <c r="BP30" s="989">
        <f>BN30*BN33/1000000*(1-0.6784)</f>
        <v>7.9435199999999991E-3</v>
      </c>
      <c r="BQ30" s="983">
        <v>65</v>
      </c>
      <c r="BR30" s="986">
        <f>BQ30*BQ33/1000000*0.6784</f>
        <v>1.6756480000000001E-2</v>
      </c>
      <c r="BS30" s="989">
        <f>BQ30*BQ33/1000000*(1-0.6784)</f>
        <v>7.9435199999999991E-3</v>
      </c>
      <c r="BT30" s="983">
        <v>65</v>
      </c>
      <c r="BU30" s="986">
        <f>BT30*BT33/1000000*0.6784</f>
        <v>1.6756480000000001E-2</v>
      </c>
      <c r="BV30" s="989">
        <f>BT30*BT33/1000000*(1-0.6784)</f>
        <v>7.9435199999999991E-3</v>
      </c>
      <c r="BW30" s="983">
        <v>65</v>
      </c>
      <c r="BX30" s="986">
        <f>BW30*BW33/1000000*0.6784</f>
        <v>1.6756480000000001E-2</v>
      </c>
      <c r="BY30" s="989">
        <f>BW30*BW33/1000000*(1-0.6784)</f>
        <v>7.9435199999999991E-3</v>
      </c>
      <c r="BZ30" s="983">
        <v>65</v>
      </c>
      <c r="CA30" s="986">
        <f>BZ30*BZ33/1000000*0.6784</f>
        <v>1.6756480000000001E-2</v>
      </c>
      <c r="CB30" s="989">
        <f>BZ30*BZ33/1000000*(1-0.6784)</f>
        <v>7.9435199999999991E-3</v>
      </c>
    </row>
    <row r="31" spans="1:80" ht="6.75" customHeight="1" x14ac:dyDescent="0.2">
      <c r="A31" s="1026"/>
      <c r="B31" s="1027"/>
      <c r="C31" s="1028"/>
      <c r="D31" s="1033"/>
      <c r="E31" s="1026"/>
      <c r="F31" s="1028"/>
      <c r="G31" s="1026"/>
      <c r="H31" s="1027"/>
      <c r="I31" s="984"/>
      <c r="J31" s="987"/>
      <c r="K31" s="990"/>
      <c r="L31" s="984"/>
      <c r="M31" s="987"/>
      <c r="N31" s="990"/>
      <c r="O31" s="984"/>
      <c r="P31" s="987"/>
      <c r="Q31" s="990"/>
      <c r="R31" s="984"/>
      <c r="S31" s="987"/>
      <c r="T31" s="990"/>
      <c r="U31" s="984"/>
      <c r="V31" s="987"/>
      <c r="W31" s="990"/>
      <c r="X31" s="984"/>
      <c r="Y31" s="987"/>
      <c r="Z31" s="990"/>
      <c r="AA31" s="984"/>
      <c r="AB31" s="987"/>
      <c r="AC31" s="990"/>
      <c r="AD31" s="984"/>
      <c r="AE31" s="987"/>
      <c r="AF31" s="990"/>
      <c r="AG31" s="984"/>
      <c r="AH31" s="987"/>
      <c r="AI31" s="990"/>
      <c r="AJ31" s="984"/>
      <c r="AK31" s="987"/>
      <c r="AL31" s="990"/>
      <c r="AM31" s="984"/>
      <c r="AN31" s="987"/>
      <c r="AO31" s="990"/>
      <c r="AP31" s="984"/>
      <c r="AQ31" s="987"/>
      <c r="AR31" s="990"/>
      <c r="AS31" s="984"/>
      <c r="AT31" s="987"/>
      <c r="AU31" s="990"/>
      <c r="AV31" s="984"/>
      <c r="AW31" s="987"/>
      <c r="AX31" s="990"/>
      <c r="AY31" s="984"/>
      <c r="AZ31" s="987"/>
      <c r="BA31" s="990"/>
      <c r="BB31" s="984"/>
      <c r="BC31" s="987"/>
      <c r="BD31" s="990"/>
      <c r="BE31" s="984"/>
      <c r="BF31" s="987"/>
      <c r="BG31" s="990"/>
      <c r="BH31" s="984"/>
      <c r="BI31" s="987"/>
      <c r="BJ31" s="990"/>
      <c r="BK31" s="984"/>
      <c r="BL31" s="987"/>
      <c r="BM31" s="990"/>
      <c r="BN31" s="984"/>
      <c r="BO31" s="987"/>
      <c r="BP31" s="990"/>
      <c r="BQ31" s="984"/>
      <c r="BR31" s="987"/>
      <c r="BS31" s="990"/>
      <c r="BT31" s="984"/>
      <c r="BU31" s="987"/>
      <c r="BV31" s="990"/>
      <c r="BW31" s="984"/>
      <c r="BX31" s="987"/>
      <c r="BY31" s="990"/>
      <c r="BZ31" s="984"/>
      <c r="CA31" s="987"/>
      <c r="CB31" s="990"/>
    </row>
    <row r="32" spans="1:80" ht="6.75" customHeight="1" thickBot="1" x14ac:dyDescent="0.25">
      <c r="A32" s="1026"/>
      <c r="B32" s="1027"/>
      <c r="C32" s="1028"/>
      <c r="D32" s="1033"/>
      <c r="E32" s="1029"/>
      <c r="F32" s="1031"/>
      <c r="G32" s="1029"/>
      <c r="H32" s="1030"/>
      <c r="I32" s="985"/>
      <c r="J32" s="988"/>
      <c r="K32" s="991"/>
      <c r="L32" s="985"/>
      <c r="M32" s="988"/>
      <c r="N32" s="991"/>
      <c r="O32" s="985"/>
      <c r="P32" s="988"/>
      <c r="Q32" s="991"/>
      <c r="R32" s="985"/>
      <c r="S32" s="988"/>
      <c r="T32" s="991"/>
      <c r="U32" s="985"/>
      <c r="V32" s="988"/>
      <c r="W32" s="991"/>
      <c r="X32" s="985"/>
      <c r="Y32" s="988"/>
      <c r="Z32" s="991"/>
      <c r="AA32" s="985"/>
      <c r="AB32" s="988"/>
      <c r="AC32" s="991"/>
      <c r="AD32" s="985"/>
      <c r="AE32" s="988"/>
      <c r="AF32" s="991"/>
      <c r="AG32" s="985"/>
      <c r="AH32" s="988"/>
      <c r="AI32" s="991"/>
      <c r="AJ32" s="985"/>
      <c r="AK32" s="988"/>
      <c r="AL32" s="991"/>
      <c r="AM32" s="985"/>
      <c r="AN32" s="988"/>
      <c r="AO32" s="991"/>
      <c r="AP32" s="985"/>
      <c r="AQ32" s="988"/>
      <c r="AR32" s="991"/>
      <c r="AS32" s="985"/>
      <c r="AT32" s="988"/>
      <c r="AU32" s="991"/>
      <c r="AV32" s="985"/>
      <c r="AW32" s="988"/>
      <c r="AX32" s="991"/>
      <c r="AY32" s="985"/>
      <c r="AZ32" s="988"/>
      <c r="BA32" s="991"/>
      <c r="BB32" s="985"/>
      <c r="BC32" s="988"/>
      <c r="BD32" s="991"/>
      <c r="BE32" s="985"/>
      <c r="BF32" s="988"/>
      <c r="BG32" s="991"/>
      <c r="BH32" s="985"/>
      <c r="BI32" s="988"/>
      <c r="BJ32" s="991"/>
      <c r="BK32" s="985"/>
      <c r="BL32" s="988"/>
      <c r="BM32" s="991"/>
      <c r="BN32" s="985"/>
      <c r="BO32" s="988"/>
      <c r="BP32" s="991"/>
      <c r="BQ32" s="985"/>
      <c r="BR32" s="988"/>
      <c r="BS32" s="991"/>
      <c r="BT32" s="985"/>
      <c r="BU32" s="988"/>
      <c r="BV32" s="991"/>
      <c r="BW32" s="985"/>
      <c r="BX32" s="988"/>
      <c r="BY32" s="991"/>
      <c r="BZ32" s="985"/>
      <c r="CA32" s="988"/>
      <c r="CB32" s="991"/>
    </row>
    <row r="33" spans="1:80" ht="6.75" customHeight="1" x14ac:dyDescent="0.2">
      <c r="A33" s="1026"/>
      <c r="B33" s="1027"/>
      <c r="C33" s="1028"/>
      <c r="D33" s="1033"/>
      <c r="E33" s="1023" t="s">
        <v>14</v>
      </c>
      <c r="F33" s="1025"/>
      <c r="G33" s="1023" t="s">
        <v>47</v>
      </c>
      <c r="H33" s="1024"/>
      <c r="I33" s="977">
        <v>380</v>
      </c>
      <c r="J33" s="978"/>
      <c r="K33" s="979"/>
      <c r="L33" s="977">
        <v>380</v>
      </c>
      <c r="M33" s="978"/>
      <c r="N33" s="979"/>
      <c r="O33" s="977">
        <v>380</v>
      </c>
      <c r="P33" s="978"/>
      <c r="Q33" s="979"/>
      <c r="R33" s="977">
        <v>380</v>
      </c>
      <c r="S33" s="978"/>
      <c r="T33" s="979"/>
      <c r="U33" s="977">
        <v>380</v>
      </c>
      <c r="V33" s="978"/>
      <c r="W33" s="979"/>
      <c r="X33" s="977">
        <v>380</v>
      </c>
      <c r="Y33" s="978"/>
      <c r="Z33" s="979"/>
      <c r="AA33" s="977">
        <v>380</v>
      </c>
      <c r="AB33" s="978"/>
      <c r="AC33" s="979"/>
      <c r="AD33" s="977">
        <v>380</v>
      </c>
      <c r="AE33" s="978"/>
      <c r="AF33" s="979"/>
      <c r="AG33" s="977">
        <v>380</v>
      </c>
      <c r="AH33" s="978"/>
      <c r="AI33" s="979"/>
      <c r="AJ33" s="977">
        <v>380</v>
      </c>
      <c r="AK33" s="978"/>
      <c r="AL33" s="979"/>
      <c r="AM33" s="977">
        <v>380</v>
      </c>
      <c r="AN33" s="978"/>
      <c r="AO33" s="979"/>
      <c r="AP33" s="977">
        <v>380</v>
      </c>
      <c r="AQ33" s="978"/>
      <c r="AR33" s="979"/>
      <c r="AS33" s="977">
        <v>380</v>
      </c>
      <c r="AT33" s="978"/>
      <c r="AU33" s="979"/>
      <c r="AV33" s="977">
        <v>380</v>
      </c>
      <c r="AW33" s="978"/>
      <c r="AX33" s="979"/>
      <c r="AY33" s="977">
        <v>380</v>
      </c>
      <c r="AZ33" s="978"/>
      <c r="BA33" s="979"/>
      <c r="BB33" s="977">
        <v>380</v>
      </c>
      <c r="BC33" s="978"/>
      <c r="BD33" s="979"/>
      <c r="BE33" s="977">
        <v>380</v>
      </c>
      <c r="BF33" s="978"/>
      <c r="BG33" s="979"/>
      <c r="BH33" s="977">
        <v>380</v>
      </c>
      <c r="BI33" s="978"/>
      <c r="BJ33" s="979"/>
      <c r="BK33" s="977">
        <v>380</v>
      </c>
      <c r="BL33" s="978"/>
      <c r="BM33" s="979"/>
      <c r="BN33" s="977">
        <v>380</v>
      </c>
      <c r="BO33" s="978"/>
      <c r="BP33" s="979"/>
      <c r="BQ33" s="977">
        <v>380</v>
      </c>
      <c r="BR33" s="978"/>
      <c r="BS33" s="979"/>
      <c r="BT33" s="977">
        <v>380</v>
      </c>
      <c r="BU33" s="978"/>
      <c r="BV33" s="979"/>
      <c r="BW33" s="977">
        <v>380</v>
      </c>
      <c r="BX33" s="978"/>
      <c r="BY33" s="979"/>
      <c r="BZ33" s="977">
        <v>380</v>
      </c>
      <c r="CA33" s="978"/>
      <c r="CB33" s="979"/>
    </row>
    <row r="34" spans="1:80" ht="6.75" customHeight="1" x14ac:dyDescent="0.2">
      <c r="A34" s="1026"/>
      <c r="B34" s="1027"/>
      <c r="C34" s="1028"/>
      <c r="D34" s="1033"/>
      <c r="E34" s="1026"/>
      <c r="F34" s="1028"/>
      <c r="G34" s="1026"/>
      <c r="H34" s="1027"/>
      <c r="I34" s="977"/>
      <c r="J34" s="978"/>
      <c r="K34" s="979"/>
      <c r="L34" s="977"/>
      <c r="M34" s="978"/>
      <c r="N34" s="979"/>
      <c r="O34" s="977"/>
      <c r="P34" s="978"/>
      <c r="Q34" s="979"/>
      <c r="R34" s="977"/>
      <c r="S34" s="978"/>
      <c r="T34" s="979"/>
      <c r="U34" s="977"/>
      <c r="V34" s="978"/>
      <c r="W34" s="979"/>
      <c r="X34" s="977"/>
      <c r="Y34" s="978"/>
      <c r="Z34" s="979"/>
      <c r="AA34" s="977"/>
      <c r="AB34" s="978"/>
      <c r="AC34" s="979"/>
      <c r="AD34" s="977"/>
      <c r="AE34" s="978"/>
      <c r="AF34" s="979"/>
      <c r="AG34" s="977"/>
      <c r="AH34" s="978"/>
      <c r="AI34" s="979"/>
      <c r="AJ34" s="977"/>
      <c r="AK34" s="978"/>
      <c r="AL34" s="979"/>
      <c r="AM34" s="977"/>
      <c r="AN34" s="978"/>
      <c r="AO34" s="979"/>
      <c r="AP34" s="977"/>
      <c r="AQ34" s="978"/>
      <c r="AR34" s="979"/>
      <c r="AS34" s="977"/>
      <c r="AT34" s="978"/>
      <c r="AU34" s="979"/>
      <c r="AV34" s="977"/>
      <c r="AW34" s="978"/>
      <c r="AX34" s="979"/>
      <c r="AY34" s="977"/>
      <c r="AZ34" s="978"/>
      <c r="BA34" s="979"/>
      <c r="BB34" s="977"/>
      <c r="BC34" s="978"/>
      <c r="BD34" s="979"/>
      <c r="BE34" s="977"/>
      <c r="BF34" s="978"/>
      <c r="BG34" s="979"/>
      <c r="BH34" s="977"/>
      <c r="BI34" s="978"/>
      <c r="BJ34" s="979"/>
      <c r="BK34" s="977"/>
      <c r="BL34" s="978"/>
      <c r="BM34" s="979"/>
      <c r="BN34" s="977"/>
      <c r="BO34" s="978"/>
      <c r="BP34" s="979"/>
      <c r="BQ34" s="977"/>
      <c r="BR34" s="978"/>
      <c r="BS34" s="979"/>
      <c r="BT34" s="977"/>
      <c r="BU34" s="978"/>
      <c r="BV34" s="979"/>
      <c r="BW34" s="977"/>
      <c r="BX34" s="978"/>
      <c r="BY34" s="979"/>
      <c r="BZ34" s="977"/>
      <c r="CA34" s="978"/>
      <c r="CB34" s="979"/>
    </row>
    <row r="35" spans="1:80" ht="6.75" customHeight="1" thickBot="1" x14ac:dyDescent="0.25">
      <c r="A35" s="1029"/>
      <c r="B35" s="1030"/>
      <c r="C35" s="1031"/>
      <c r="D35" s="1034"/>
      <c r="E35" s="1029"/>
      <c r="F35" s="1031"/>
      <c r="G35" s="1029"/>
      <c r="H35" s="1030"/>
      <c r="I35" s="992"/>
      <c r="J35" s="993"/>
      <c r="K35" s="994"/>
      <c r="L35" s="992"/>
      <c r="M35" s="993"/>
      <c r="N35" s="994"/>
      <c r="O35" s="992"/>
      <c r="P35" s="993"/>
      <c r="Q35" s="994"/>
      <c r="R35" s="992"/>
      <c r="S35" s="993"/>
      <c r="T35" s="994"/>
      <c r="U35" s="992"/>
      <c r="V35" s="993"/>
      <c r="W35" s="994"/>
      <c r="X35" s="992"/>
      <c r="Y35" s="993"/>
      <c r="Z35" s="994"/>
      <c r="AA35" s="992"/>
      <c r="AB35" s="993"/>
      <c r="AC35" s="994"/>
      <c r="AD35" s="992"/>
      <c r="AE35" s="993"/>
      <c r="AF35" s="994"/>
      <c r="AG35" s="992"/>
      <c r="AH35" s="993"/>
      <c r="AI35" s="994"/>
      <c r="AJ35" s="992"/>
      <c r="AK35" s="993"/>
      <c r="AL35" s="994"/>
      <c r="AM35" s="992"/>
      <c r="AN35" s="993"/>
      <c r="AO35" s="994"/>
      <c r="AP35" s="992"/>
      <c r="AQ35" s="993"/>
      <c r="AR35" s="994"/>
      <c r="AS35" s="992"/>
      <c r="AT35" s="993"/>
      <c r="AU35" s="994"/>
      <c r="AV35" s="992"/>
      <c r="AW35" s="993"/>
      <c r="AX35" s="994"/>
      <c r="AY35" s="992"/>
      <c r="AZ35" s="993"/>
      <c r="BA35" s="994"/>
      <c r="BB35" s="992"/>
      <c r="BC35" s="993"/>
      <c r="BD35" s="994"/>
      <c r="BE35" s="992"/>
      <c r="BF35" s="993"/>
      <c r="BG35" s="994"/>
      <c r="BH35" s="992"/>
      <c r="BI35" s="993"/>
      <c r="BJ35" s="994"/>
      <c r="BK35" s="992"/>
      <c r="BL35" s="993"/>
      <c r="BM35" s="994"/>
      <c r="BN35" s="992"/>
      <c r="BO35" s="993"/>
      <c r="BP35" s="994"/>
      <c r="BQ35" s="992"/>
      <c r="BR35" s="993"/>
      <c r="BS35" s="994"/>
      <c r="BT35" s="992"/>
      <c r="BU35" s="993"/>
      <c r="BV35" s="994"/>
      <c r="BW35" s="992"/>
      <c r="BX35" s="993"/>
      <c r="BY35" s="994"/>
      <c r="BZ35" s="992"/>
      <c r="CA35" s="993"/>
      <c r="CB35" s="994"/>
    </row>
    <row r="36" spans="1:80" ht="7.5" customHeight="1" x14ac:dyDescent="0.2">
      <c r="A36" s="1023" t="s">
        <v>18</v>
      </c>
      <c r="B36" s="1024"/>
      <c r="C36" s="1025"/>
      <c r="D36" s="1032">
        <v>0.16</v>
      </c>
      <c r="E36" s="1023" t="s">
        <v>13</v>
      </c>
      <c r="F36" s="1025"/>
      <c r="G36" s="1023" t="s">
        <v>47</v>
      </c>
      <c r="H36" s="1024"/>
      <c r="I36" s="983">
        <v>25</v>
      </c>
      <c r="J36" s="986">
        <f>I36*I39/1000000*0.6784</f>
        <v>6.5296E-3</v>
      </c>
      <c r="K36" s="989">
        <f>I36*I39/1000000*(1-0.6784)</f>
        <v>3.0953999999999999E-3</v>
      </c>
      <c r="L36" s="983">
        <v>25</v>
      </c>
      <c r="M36" s="986">
        <f>L36*L39/1000000*0.6784</f>
        <v>6.5296E-3</v>
      </c>
      <c r="N36" s="989">
        <f>L36*L39/1000000*(1-0.6784)</f>
        <v>3.0953999999999999E-3</v>
      </c>
      <c r="O36" s="983">
        <v>25</v>
      </c>
      <c r="P36" s="986">
        <f>O36*O39/1000000*0.6784</f>
        <v>6.5296E-3</v>
      </c>
      <c r="Q36" s="989">
        <f>O36*O39/1000000*(1-0.6784)</f>
        <v>3.0953999999999999E-3</v>
      </c>
      <c r="R36" s="983">
        <v>25</v>
      </c>
      <c r="S36" s="986">
        <f>R36*R39/1000000*0.6784</f>
        <v>6.5296E-3</v>
      </c>
      <c r="T36" s="989">
        <f>R36*R39/1000000*(1-0.6784)</f>
        <v>3.0953999999999999E-3</v>
      </c>
      <c r="U36" s="983">
        <v>25</v>
      </c>
      <c r="V36" s="986">
        <f>U36*U39/1000000*0.6784</f>
        <v>6.5296E-3</v>
      </c>
      <c r="W36" s="989">
        <f>U36*U39/1000000*(1-0.6784)</f>
        <v>3.0953999999999999E-3</v>
      </c>
      <c r="X36" s="983">
        <v>25</v>
      </c>
      <c r="Y36" s="986">
        <f>X36*X39/1000000*0.6784</f>
        <v>6.5296E-3</v>
      </c>
      <c r="Z36" s="989">
        <f>X36*X39/1000000*(1-0.6784)</f>
        <v>3.0953999999999999E-3</v>
      </c>
      <c r="AA36" s="983">
        <v>25</v>
      </c>
      <c r="AB36" s="986">
        <f>AA36*AA39/1000000*0.6784</f>
        <v>6.5296E-3</v>
      </c>
      <c r="AC36" s="989">
        <f>AA36*AA39/1000000*(1-0.6784)</f>
        <v>3.0953999999999999E-3</v>
      </c>
      <c r="AD36" s="983">
        <v>25</v>
      </c>
      <c r="AE36" s="986">
        <f>AD36*AD39/1000000*0.6784</f>
        <v>6.5296E-3</v>
      </c>
      <c r="AF36" s="989">
        <f>AD36*AD39/1000000*(1-0.6784)</f>
        <v>3.0953999999999999E-3</v>
      </c>
      <c r="AG36" s="983">
        <v>25</v>
      </c>
      <c r="AH36" s="986">
        <f>AG36*AG39/1000000*0.6784</f>
        <v>6.5296E-3</v>
      </c>
      <c r="AI36" s="989">
        <f>AG36*AG39/1000000*(1-0.6784)</f>
        <v>3.0953999999999999E-3</v>
      </c>
      <c r="AJ36" s="983">
        <v>25</v>
      </c>
      <c r="AK36" s="986">
        <f>AJ36*AJ39/1000000*0.6784</f>
        <v>6.5296E-3</v>
      </c>
      <c r="AL36" s="989">
        <f>AJ36*AJ39/1000000*(1-0.6784)</f>
        <v>3.0953999999999999E-3</v>
      </c>
      <c r="AM36" s="983">
        <v>25</v>
      </c>
      <c r="AN36" s="986">
        <f>AM36*AM39/1000000*0.6784</f>
        <v>6.5296E-3</v>
      </c>
      <c r="AO36" s="989">
        <f>AM36*AM39/1000000*(1-0.6784)</f>
        <v>3.0953999999999999E-3</v>
      </c>
      <c r="AP36" s="983">
        <v>25</v>
      </c>
      <c r="AQ36" s="986">
        <f>AP36*AP39/1000000*0.6784</f>
        <v>6.5296E-3</v>
      </c>
      <c r="AR36" s="989">
        <f>AP36*AP39/1000000*(1-0.6784)</f>
        <v>3.0953999999999999E-3</v>
      </c>
      <c r="AS36" s="983">
        <v>25</v>
      </c>
      <c r="AT36" s="986">
        <f>AS36*AS39/1000000*0.6784</f>
        <v>6.5296E-3</v>
      </c>
      <c r="AU36" s="989">
        <f>AS36*AS39/1000000*(1-0.6784)</f>
        <v>3.0953999999999999E-3</v>
      </c>
      <c r="AV36" s="983">
        <v>25</v>
      </c>
      <c r="AW36" s="986">
        <f>AV36*AV39/1000000*0.6784</f>
        <v>6.5296E-3</v>
      </c>
      <c r="AX36" s="989">
        <f>AV36*AV39/1000000*(1-0.6784)</f>
        <v>3.0953999999999999E-3</v>
      </c>
      <c r="AY36" s="983">
        <v>25</v>
      </c>
      <c r="AZ36" s="986">
        <f>AY36*AY39/1000000*0.6784</f>
        <v>6.5296E-3</v>
      </c>
      <c r="BA36" s="989">
        <f>AY36*AY39/1000000*(1-0.6784)</f>
        <v>3.0953999999999999E-3</v>
      </c>
      <c r="BB36" s="983">
        <v>25</v>
      </c>
      <c r="BC36" s="986">
        <f>BB36*BB39/1000000*0.6784</f>
        <v>6.5296E-3</v>
      </c>
      <c r="BD36" s="989">
        <f>BB36*BB39/1000000*(1-0.6784)</f>
        <v>3.0953999999999999E-3</v>
      </c>
      <c r="BE36" s="983">
        <v>25</v>
      </c>
      <c r="BF36" s="986">
        <f>BE36*BE39/1000000*0.6784</f>
        <v>6.5296E-3</v>
      </c>
      <c r="BG36" s="989">
        <f>BE36*BE39/1000000*(1-0.6784)</f>
        <v>3.0953999999999999E-3</v>
      </c>
      <c r="BH36" s="983">
        <v>25</v>
      </c>
      <c r="BI36" s="986">
        <f>BH36*BH39/1000000*0.6784</f>
        <v>6.5296E-3</v>
      </c>
      <c r="BJ36" s="989">
        <f>BH36*BH39/1000000*(1-0.6784)</f>
        <v>3.0953999999999999E-3</v>
      </c>
      <c r="BK36" s="983">
        <v>25</v>
      </c>
      <c r="BL36" s="986">
        <f>BK36*BK39/1000000*0.6784</f>
        <v>6.5296E-3</v>
      </c>
      <c r="BM36" s="989">
        <f>BK36*BK39/1000000*(1-0.6784)</f>
        <v>3.0953999999999999E-3</v>
      </c>
      <c r="BN36" s="983">
        <v>25</v>
      </c>
      <c r="BO36" s="986">
        <f>BN36*BN39/1000000*0.6784</f>
        <v>6.5296E-3</v>
      </c>
      <c r="BP36" s="989">
        <f>BN36*BN39/1000000*(1-0.6784)</f>
        <v>3.0953999999999999E-3</v>
      </c>
      <c r="BQ36" s="983">
        <v>25</v>
      </c>
      <c r="BR36" s="986">
        <f>BQ36*BQ39/1000000*0.6784</f>
        <v>6.5296E-3</v>
      </c>
      <c r="BS36" s="989">
        <f>BQ36*BQ39/1000000*(1-0.6784)</f>
        <v>3.0953999999999999E-3</v>
      </c>
      <c r="BT36" s="983">
        <v>25</v>
      </c>
      <c r="BU36" s="986">
        <f>BT36*BT39/1000000*0.6784</f>
        <v>6.5296E-3</v>
      </c>
      <c r="BV36" s="989">
        <f>BT36*BT39/1000000*(1-0.6784)</f>
        <v>3.0953999999999999E-3</v>
      </c>
      <c r="BW36" s="983">
        <v>25</v>
      </c>
      <c r="BX36" s="986">
        <f>BW36*BW39/1000000*0.6784</f>
        <v>6.5296E-3</v>
      </c>
      <c r="BY36" s="989">
        <f>BW36*BW39/1000000*(1-0.6784)</f>
        <v>3.0953999999999999E-3</v>
      </c>
      <c r="BZ36" s="983">
        <v>25</v>
      </c>
      <c r="CA36" s="986">
        <f>BZ36*BZ39/1000000*0.6784</f>
        <v>6.5296E-3</v>
      </c>
      <c r="CB36" s="989">
        <f>BZ36*BZ39/1000000*(1-0.6784)</f>
        <v>3.0953999999999999E-3</v>
      </c>
    </row>
    <row r="37" spans="1:80" ht="7.5" customHeight="1" x14ac:dyDescent="0.2">
      <c r="A37" s="1026"/>
      <c r="B37" s="1027"/>
      <c r="C37" s="1028"/>
      <c r="D37" s="1033"/>
      <c r="E37" s="1026"/>
      <c r="F37" s="1028"/>
      <c r="G37" s="1026"/>
      <c r="H37" s="1027"/>
      <c r="I37" s="984"/>
      <c r="J37" s="987"/>
      <c r="K37" s="990"/>
      <c r="L37" s="984"/>
      <c r="M37" s="987"/>
      <c r="N37" s="990"/>
      <c r="O37" s="984"/>
      <c r="P37" s="987"/>
      <c r="Q37" s="990"/>
      <c r="R37" s="984"/>
      <c r="S37" s="987"/>
      <c r="T37" s="990"/>
      <c r="U37" s="984"/>
      <c r="V37" s="987"/>
      <c r="W37" s="990"/>
      <c r="X37" s="984"/>
      <c r="Y37" s="987"/>
      <c r="Z37" s="990"/>
      <c r="AA37" s="984"/>
      <c r="AB37" s="987"/>
      <c r="AC37" s="990"/>
      <c r="AD37" s="984"/>
      <c r="AE37" s="987"/>
      <c r="AF37" s="990"/>
      <c r="AG37" s="984"/>
      <c r="AH37" s="987"/>
      <c r="AI37" s="990"/>
      <c r="AJ37" s="984"/>
      <c r="AK37" s="987"/>
      <c r="AL37" s="990"/>
      <c r="AM37" s="984"/>
      <c r="AN37" s="987"/>
      <c r="AO37" s="990"/>
      <c r="AP37" s="984"/>
      <c r="AQ37" s="987"/>
      <c r="AR37" s="990"/>
      <c r="AS37" s="984"/>
      <c r="AT37" s="987"/>
      <c r="AU37" s="990"/>
      <c r="AV37" s="984"/>
      <c r="AW37" s="987"/>
      <c r="AX37" s="990"/>
      <c r="AY37" s="984"/>
      <c r="AZ37" s="987"/>
      <c r="BA37" s="990"/>
      <c r="BB37" s="984"/>
      <c r="BC37" s="987"/>
      <c r="BD37" s="990"/>
      <c r="BE37" s="984"/>
      <c r="BF37" s="987"/>
      <c r="BG37" s="990"/>
      <c r="BH37" s="984"/>
      <c r="BI37" s="987"/>
      <c r="BJ37" s="990"/>
      <c r="BK37" s="984"/>
      <c r="BL37" s="987"/>
      <c r="BM37" s="990"/>
      <c r="BN37" s="984"/>
      <c r="BO37" s="987"/>
      <c r="BP37" s="990"/>
      <c r="BQ37" s="984"/>
      <c r="BR37" s="987"/>
      <c r="BS37" s="990"/>
      <c r="BT37" s="984"/>
      <c r="BU37" s="987"/>
      <c r="BV37" s="990"/>
      <c r="BW37" s="984"/>
      <c r="BX37" s="987"/>
      <c r="BY37" s="990"/>
      <c r="BZ37" s="984"/>
      <c r="CA37" s="987"/>
      <c r="CB37" s="990"/>
    </row>
    <row r="38" spans="1:80" ht="7.5" customHeight="1" thickBot="1" x14ac:dyDescent="0.25">
      <c r="A38" s="1026"/>
      <c r="B38" s="1027"/>
      <c r="C38" s="1028"/>
      <c r="D38" s="1033"/>
      <c r="E38" s="1029"/>
      <c r="F38" s="1031"/>
      <c r="G38" s="1029"/>
      <c r="H38" s="1030"/>
      <c r="I38" s="985"/>
      <c r="J38" s="988"/>
      <c r="K38" s="991"/>
      <c r="L38" s="985"/>
      <c r="M38" s="988"/>
      <c r="N38" s="991"/>
      <c r="O38" s="985"/>
      <c r="P38" s="988"/>
      <c r="Q38" s="991"/>
      <c r="R38" s="985"/>
      <c r="S38" s="988"/>
      <c r="T38" s="991"/>
      <c r="U38" s="985"/>
      <c r="V38" s="988"/>
      <c r="W38" s="991"/>
      <c r="X38" s="985"/>
      <c r="Y38" s="988"/>
      <c r="Z38" s="991"/>
      <c r="AA38" s="985"/>
      <c r="AB38" s="988"/>
      <c r="AC38" s="991"/>
      <c r="AD38" s="985"/>
      <c r="AE38" s="988"/>
      <c r="AF38" s="991"/>
      <c r="AG38" s="985"/>
      <c r="AH38" s="988"/>
      <c r="AI38" s="991"/>
      <c r="AJ38" s="985"/>
      <c r="AK38" s="988"/>
      <c r="AL38" s="991"/>
      <c r="AM38" s="985"/>
      <c r="AN38" s="988"/>
      <c r="AO38" s="991"/>
      <c r="AP38" s="985"/>
      <c r="AQ38" s="988"/>
      <c r="AR38" s="991"/>
      <c r="AS38" s="985"/>
      <c r="AT38" s="988"/>
      <c r="AU38" s="991"/>
      <c r="AV38" s="985"/>
      <c r="AW38" s="988"/>
      <c r="AX38" s="991"/>
      <c r="AY38" s="985"/>
      <c r="AZ38" s="988"/>
      <c r="BA38" s="991"/>
      <c r="BB38" s="985"/>
      <c r="BC38" s="988"/>
      <c r="BD38" s="991"/>
      <c r="BE38" s="985"/>
      <c r="BF38" s="988"/>
      <c r="BG38" s="991"/>
      <c r="BH38" s="985"/>
      <c r="BI38" s="988"/>
      <c r="BJ38" s="991"/>
      <c r="BK38" s="985"/>
      <c r="BL38" s="988"/>
      <c r="BM38" s="991"/>
      <c r="BN38" s="985"/>
      <c r="BO38" s="988"/>
      <c r="BP38" s="991"/>
      <c r="BQ38" s="985"/>
      <c r="BR38" s="988"/>
      <c r="BS38" s="991"/>
      <c r="BT38" s="985"/>
      <c r="BU38" s="988"/>
      <c r="BV38" s="991"/>
      <c r="BW38" s="985"/>
      <c r="BX38" s="988"/>
      <c r="BY38" s="991"/>
      <c r="BZ38" s="985"/>
      <c r="CA38" s="988"/>
      <c r="CB38" s="991"/>
    </row>
    <row r="39" spans="1:80" ht="7.5" customHeight="1" x14ac:dyDescent="0.2">
      <c r="A39" s="1026"/>
      <c r="B39" s="1027"/>
      <c r="C39" s="1028"/>
      <c r="D39" s="1033"/>
      <c r="E39" s="1023" t="s">
        <v>14</v>
      </c>
      <c r="F39" s="1025"/>
      <c r="G39" s="1023" t="s">
        <v>47</v>
      </c>
      <c r="H39" s="1024"/>
      <c r="I39" s="974">
        <v>385</v>
      </c>
      <c r="J39" s="975"/>
      <c r="K39" s="976"/>
      <c r="L39" s="974">
        <v>385</v>
      </c>
      <c r="M39" s="975"/>
      <c r="N39" s="976"/>
      <c r="O39" s="974">
        <v>385</v>
      </c>
      <c r="P39" s="975"/>
      <c r="Q39" s="976"/>
      <c r="R39" s="974">
        <v>385</v>
      </c>
      <c r="S39" s="975"/>
      <c r="T39" s="976"/>
      <c r="U39" s="974">
        <v>385</v>
      </c>
      <c r="V39" s="975"/>
      <c r="W39" s="976"/>
      <c r="X39" s="974">
        <v>385</v>
      </c>
      <c r="Y39" s="975"/>
      <c r="Z39" s="976"/>
      <c r="AA39" s="974">
        <v>385</v>
      </c>
      <c r="AB39" s="975"/>
      <c r="AC39" s="976"/>
      <c r="AD39" s="974">
        <v>385</v>
      </c>
      <c r="AE39" s="975"/>
      <c r="AF39" s="976"/>
      <c r="AG39" s="974">
        <v>385</v>
      </c>
      <c r="AH39" s="975"/>
      <c r="AI39" s="976"/>
      <c r="AJ39" s="974">
        <v>385</v>
      </c>
      <c r="AK39" s="975"/>
      <c r="AL39" s="976"/>
      <c r="AM39" s="974">
        <v>385</v>
      </c>
      <c r="AN39" s="975"/>
      <c r="AO39" s="976"/>
      <c r="AP39" s="974">
        <v>385</v>
      </c>
      <c r="AQ39" s="975"/>
      <c r="AR39" s="976"/>
      <c r="AS39" s="974">
        <v>385</v>
      </c>
      <c r="AT39" s="975"/>
      <c r="AU39" s="976"/>
      <c r="AV39" s="974">
        <v>385</v>
      </c>
      <c r="AW39" s="975"/>
      <c r="AX39" s="976"/>
      <c r="AY39" s="974">
        <v>385</v>
      </c>
      <c r="AZ39" s="975"/>
      <c r="BA39" s="976"/>
      <c r="BB39" s="974">
        <v>385</v>
      </c>
      <c r="BC39" s="975"/>
      <c r="BD39" s="976"/>
      <c r="BE39" s="974">
        <v>385</v>
      </c>
      <c r="BF39" s="975"/>
      <c r="BG39" s="976"/>
      <c r="BH39" s="974">
        <v>385</v>
      </c>
      <c r="BI39" s="975"/>
      <c r="BJ39" s="976"/>
      <c r="BK39" s="974">
        <v>385</v>
      </c>
      <c r="BL39" s="975"/>
      <c r="BM39" s="976"/>
      <c r="BN39" s="974">
        <v>385</v>
      </c>
      <c r="BO39" s="975"/>
      <c r="BP39" s="976"/>
      <c r="BQ39" s="974">
        <v>385</v>
      </c>
      <c r="BR39" s="975"/>
      <c r="BS39" s="976"/>
      <c r="BT39" s="974">
        <v>385</v>
      </c>
      <c r="BU39" s="975"/>
      <c r="BV39" s="976"/>
      <c r="BW39" s="974">
        <v>385</v>
      </c>
      <c r="BX39" s="975"/>
      <c r="BY39" s="976"/>
      <c r="BZ39" s="974">
        <v>385</v>
      </c>
      <c r="CA39" s="975"/>
      <c r="CB39" s="976"/>
    </row>
    <row r="40" spans="1:80" ht="7.5" customHeight="1" x14ac:dyDescent="0.2">
      <c r="A40" s="1026"/>
      <c r="B40" s="1027"/>
      <c r="C40" s="1028"/>
      <c r="D40" s="1033"/>
      <c r="E40" s="1026"/>
      <c r="F40" s="1028"/>
      <c r="G40" s="1026"/>
      <c r="H40" s="1027"/>
      <c r="I40" s="977"/>
      <c r="J40" s="978"/>
      <c r="K40" s="979"/>
      <c r="L40" s="977"/>
      <c r="M40" s="978"/>
      <c r="N40" s="979"/>
      <c r="O40" s="977"/>
      <c r="P40" s="978"/>
      <c r="Q40" s="979"/>
      <c r="R40" s="977"/>
      <c r="S40" s="978"/>
      <c r="T40" s="979"/>
      <c r="U40" s="977"/>
      <c r="V40" s="978"/>
      <c r="W40" s="979"/>
      <c r="X40" s="977"/>
      <c r="Y40" s="978"/>
      <c r="Z40" s="979"/>
      <c r="AA40" s="977"/>
      <c r="AB40" s="978"/>
      <c r="AC40" s="979"/>
      <c r="AD40" s="977"/>
      <c r="AE40" s="978"/>
      <c r="AF40" s="979"/>
      <c r="AG40" s="977"/>
      <c r="AH40" s="978"/>
      <c r="AI40" s="979"/>
      <c r="AJ40" s="977"/>
      <c r="AK40" s="978"/>
      <c r="AL40" s="979"/>
      <c r="AM40" s="977"/>
      <c r="AN40" s="978"/>
      <c r="AO40" s="979"/>
      <c r="AP40" s="977"/>
      <c r="AQ40" s="978"/>
      <c r="AR40" s="979"/>
      <c r="AS40" s="977"/>
      <c r="AT40" s="978"/>
      <c r="AU40" s="979"/>
      <c r="AV40" s="977"/>
      <c r="AW40" s="978"/>
      <c r="AX40" s="979"/>
      <c r="AY40" s="977"/>
      <c r="AZ40" s="978"/>
      <c r="BA40" s="979"/>
      <c r="BB40" s="977"/>
      <c r="BC40" s="978"/>
      <c r="BD40" s="979"/>
      <c r="BE40" s="977"/>
      <c r="BF40" s="978"/>
      <c r="BG40" s="979"/>
      <c r="BH40" s="977"/>
      <c r="BI40" s="978"/>
      <c r="BJ40" s="979"/>
      <c r="BK40" s="977"/>
      <c r="BL40" s="978"/>
      <c r="BM40" s="979"/>
      <c r="BN40" s="977"/>
      <c r="BO40" s="978"/>
      <c r="BP40" s="979"/>
      <c r="BQ40" s="977"/>
      <c r="BR40" s="978"/>
      <c r="BS40" s="979"/>
      <c r="BT40" s="977"/>
      <c r="BU40" s="978"/>
      <c r="BV40" s="979"/>
      <c r="BW40" s="977"/>
      <c r="BX40" s="978"/>
      <c r="BY40" s="979"/>
      <c r="BZ40" s="977"/>
      <c r="CA40" s="978"/>
      <c r="CB40" s="979"/>
    </row>
    <row r="41" spans="1:80" ht="7.5" customHeight="1" thickBot="1" x14ac:dyDescent="0.25">
      <c r="A41" s="1029"/>
      <c r="B41" s="1030"/>
      <c r="C41" s="1031"/>
      <c r="D41" s="1034"/>
      <c r="E41" s="1029"/>
      <c r="F41" s="1031"/>
      <c r="G41" s="1029"/>
      <c r="H41" s="1030"/>
      <c r="I41" s="980"/>
      <c r="J41" s="981"/>
      <c r="K41" s="982"/>
      <c r="L41" s="980"/>
      <c r="M41" s="981"/>
      <c r="N41" s="982"/>
      <c r="O41" s="980"/>
      <c r="P41" s="981"/>
      <c r="Q41" s="982"/>
      <c r="R41" s="980"/>
      <c r="S41" s="981"/>
      <c r="T41" s="982"/>
      <c r="U41" s="980"/>
      <c r="V41" s="981"/>
      <c r="W41" s="982"/>
      <c r="X41" s="980"/>
      <c r="Y41" s="981"/>
      <c r="Z41" s="982"/>
      <c r="AA41" s="980"/>
      <c r="AB41" s="981"/>
      <c r="AC41" s="982"/>
      <c r="AD41" s="980"/>
      <c r="AE41" s="981"/>
      <c r="AF41" s="982"/>
      <c r="AG41" s="980"/>
      <c r="AH41" s="981"/>
      <c r="AI41" s="982"/>
      <c r="AJ41" s="980"/>
      <c r="AK41" s="981"/>
      <c r="AL41" s="982"/>
      <c r="AM41" s="980"/>
      <c r="AN41" s="981"/>
      <c r="AO41" s="982"/>
      <c r="AP41" s="980"/>
      <c r="AQ41" s="981"/>
      <c r="AR41" s="982"/>
      <c r="AS41" s="980"/>
      <c r="AT41" s="981"/>
      <c r="AU41" s="982"/>
      <c r="AV41" s="980"/>
      <c r="AW41" s="981"/>
      <c r="AX41" s="982"/>
      <c r="AY41" s="980"/>
      <c r="AZ41" s="981"/>
      <c r="BA41" s="982"/>
      <c r="BB41" s="980"/>
      <c r="BC41" s="981"/>
      <c r="BD41" s="982"/>
      <c r="BE41" s="980"/>
      <c r="BF41" s="981"/>
      <c r="BG41" s="982"/>
      <c r="BH41" s="980"/>
      <c r="BI41" s="981"/>
      <c r="BJ41" s="982"/>
      <c r="BK41" s="980"/>
      <c r="BL41" s="981"/>
      <c r="BM41" s="982"/>
      <c r="BN41" s="980"/>
      <c r="BO41" s="981"/>
      <c r="BP41" s="982"/>
      <c r="BQ41" s="980"/>
      <c r="BR41" s="981"/>
      <c r="BS41" s="982"/>
      <c r="BT41" s="980"/>
      <c r="BU41" s="981"/>
      <c r="BV41" s="982"/>
      <c r="BW41" s="980"/>
      <c r="BX41" s="981"/>
      <c r="BY41" s="982"/>
      <c r="BZ41" s="980"/>
      <c r="CA41" s="981"/>
      <c r="CB41" s="982"/>
    </row>
    <row r="42" spans="1:80" ht="24" customHeight="1" x14ac:dyDescent="0.25">
      <c r="A42" s="1048" t="s">
        <v>19</v>
      </c>
      <c r="B42" s="1049"/>
      <c r="C42" s="1049"/>
      <c r="D42" s="1050"/>
      <c r="E42" s="1035" t="s">
        <v>30</v>
      </c>
      <c r="F42" s="1053"/>
      <c r="G42" s="1053"/>
      <c r="H42" s="1036"/>
      <c r="I42" s="77"/>
      <c r="J42" s="78"/>
      <c r="K42" s="79"/>
      <c r="L42" s="83"/>
      <c r="M42" s="78"/>
      <c r="N42" s="79"/>
      <c r="O42" s="77"/>
      <c r="P42" s="78"/>
      <c r="Q42" s="79"/>
      <c r="R42" s="77"/>
      <c r="S42" s="78"/>
      <c r="T42" s="79"/>
      <c r="U42" s="77"/>
      <c r="V42" s="78"/>
      <c r="W42" s="79"/>
      <c r="X42" s="83"/>
      <c r="Y42" s="78"/>
      <c r="Z42" s="79"/>
      <c r="AA42" s="77"/>
      <c r="AB42" s="78"/>
      <c r="AC42" s="79"/>
      <c r="AD42" s="77"/>
      <c r="AE42" s="78"/>
      <c r="AF42" s="79"/>
      <c r="AG42" s="77"/>
      <c r="AH42" s="78"/>
      <c r="AI42" s="79"/>
      <c r="AJ42" s="83"/>
      <c r="AK42" s="78"/>
      <c r="AL42" s="79"/>
      <c r="AM42" s="77"/>
      <c r="AN42" s="78"/>
      <c r="AO42" s="79"/>
      <c r="AP42" s="77"/>
      <c r="AQ42" s="78"/>
      <c r="AR42" s="79"/>
      <c r="AS42" s="77"/>
      <c r="AT42" s="78"/>
      <c r="AU42" s="79"/>
      <c r="AV42" s="83"/>
      <c r="AW42" s="78"/>
      <c r="AX42" s="79"/>
      <c r="AY42" s="77"/>
      <c r="AZ42" s="78"/>
      <c r="BA42" s="79"/>
      <c r="BB42" s="77"/>
      <c r="BC42" s="78"/>
      <c r="BD42" s="79"/>
      <c r="BE42" s="77"/>
      <c r="BF42" s="78"/>
      <c r="BG42" s="79"/>
      <c r="BH42" s="83"/>
      <c r="BI42" s="78"/>
      <c r="BJ42" s="79"/>
      <c r="BK42" s="77"/>
      <c r="BL42" s="78"/>
      <c r="BM42" s="79"/>
      <c r="BN42" s="77"/>
      <c r="BO42" s="78"/>
      <c r="BP42" s="79"/>
      <c r="BQ42" s="77"/>
      <c r="BR42" s="78"/>
      <c r="BS42" s="79"/>
      <c r="BT42" s="83"/>
      <c r="BU42" s="78"/>
      <c r="BV42" s="79"/>
      <c r="BW42" s="77"/>
      <c r="BX42" s="78"/>
      <c r="BY42" s="79"/>
      <c r="BZ42" s="77"/>
      <c r="CA42" s="78"/>
      <c r="CB42" s="79"/>
    </row>
    <row r="43" spans="1:80" ht="19.5" customHeight="1" thickBot="1" x14ac:dyDescent="0.3">
      <c r="A43" s="1051"/>
      <c r="B43" s="1019"/>
      <c r="C43" s="1019"/>
      <c r="D43" s="1052"/>
      <c r="E43" s="1054" t="s">
        <v>30</v>
      </c>
      <c r="F43" s="1055"/>
      <c r="G43" s="1055"/>
      <c r="H43" s="1056"/>
      <c r="I43" s="86"/>
      <c r="J43" s="82"/>
      <c r="K43" s="84"/>
      <c r="L43" s="85"/>
      <c r="M43" s="82"/>
      <c r="N43" s="84"/>
      <c r="O43" s="86"/>
      <c r="P43" s="82"/>
      <c r="Q43" s="84"/>
      <c r="R43" s="86"/>
      <c r="S43" s="82"/>
      <c r="T43" s="84"/>
      <c r="U43" s="86"/>
      <c r="V43" s="82"/>
      <c r="W43" s="84"/>
      <c r="X43" s="85"/>
      <c r="Y43" s="82"/>
      <c r="Z43" s="84"/>
      <c r="AA43" s="86"/>
      <c r="AB43" s="82"/>
      <c r="AC43" s="84"/>
      <c r="AD43" s="86"/>
      <c r="AE43" s="82"/>
      <c r="AF43" s="84"/>
      <c r="AG43" s="86"/>
      <c r="AH43" s="82"/>
      <c r="AI43" s="84"/>
      <c r="AJ43" s="85"/>
      <c r="AK43" s="82"/>
      <c r="AL43" s="84"/>
      <c r="AM43" s="86"/>
      <c r="AN43" s="82"/>
      <c r="AO43" s="84"/>
      <c r="AP43" s="86"/>
      <c r="AQ43" s="82"/>
      <c r="AR43" s="84"/>
      <c r="AS43" s="86"/>
      <c r="AT43" s="82"/>
      <c r="AU43" s="84"/>
      <c r="AV43" s="85"/>
      <c r="AW43" s="82"/>
      <c r="AX43" s="84"/>
      <c r="AY43" s="86"/>
      <c r="AZ43" s="82"/>
      <c r="BA43" s="84"/>
      <c r="BB43" s="86"/>
      <c r="BC43" s="82"/>
      <c r="BD43" s="84"/>
      <c r="BE43" s="86"/>
      <c r="BF43" s="82"/>
      <c r="BG43" s="84"/>
      <c r="BH43" s="85"/>
      <c r="BI43" s="82"/>
      <c r="BJ43" s="84"/>
      <c r="BK43" s="86"/>
      <c r="BL43" s="82"/>
      <c r="BM43" s="84"/>
      <c r="BN43" s="86"/>
      <c r="BO43" s="82"/>
      <c r="BP43" s="84"/>
      <c r="BQ43" s="86"/>
      <c r="BR43" s="82"/>
      <c r="BS43" s="84"/>
      <c r="BT43" s="85"/>
      <c r="BU43" s="82"/>
      <c r="BV43" s="84"/>
      <c r="BW43" s="86"/>
      <c r="BX43" s="82"/>
      <c r="BY43" s="84"/>
      <c r="BZ43" s="86"/>
      <c r="CA43" s="82"/>
      <c r="CB43" s="84"/>
    </row>
    <row r="44" spans="1:80" ht="16.5" hidden="1" x14ac:dyDescent="0.25">
      <c r="A44" s="22"/>
      <c r="B44" s="23"/>
      <c r="C44" s="23"/>
      <c r="D44" s="42"/>
      <c r="E44" s="24"/>
      <c r="F44" s="1057"/>
      <c r="G44" s="1057"/>
      <c r="H44" s="23"/>
      <c r="I44" s="23"/>
      <c r="J44" s="23"/>
      <c r="K44" s="23"/>
      <c r="L44" s="23"/>
      <c r="M44" s="42"/>
      <c r="N44" s="1057"/>
      <c r="O44" s="1057"/>
      <c r="P44" s="42"/>
      <c r="Q44" s="1057"/>
      <c r="R44" s="1057"/>
      <c r="S44" s="42"/>
      <c r="T44" s="25"/>
      <c r="U44" s="6"/>
    </row>
    <row r="45" spans="1:80" ht="16.5" x14ac:dyDescent="0.25">
      <c r="A45" s="1058" t="s">
        <v>32</v>
      </c>
      <c r="B45" s="1059"/>
      <c r="C45" s="1059"/>
      <c r="D45" s="1059"/>
      <c r="E45" s="1059" t="s">
        <v>33</v>
      </c>
      <c r="F45" s="1059"/>
      <c r="G45" s="1059"/>
      <c r="H45" s="26"/>
      <c r="I45" s="26"/>
      <c r="J45" s="26"/>
      <c r="K45" s="26"/>
      <c r="L45" s="26"/>
      <c r="M45" s="44"/>
      <c r="N45" s="1060"/>
      <c r="O45" s="1060"/>
      <c r="P45" s="44"/>
      <c r="Q45" s="1060"/>
      <c r="R45" s="1060"/>
      <c r="S45" s="44"/>
      <c r="T45" s="27"/>
      <c r="U45" s="6"/>
    </row>
    <row r="46" spans="1:80" ht="16.5" x14ac:dyDescent="0.25">
      <c r="A46" s="1058" t="s">
        <v>32</v>
      </c>
      <c r="B46" s="1059"/>
      <c r="C46" s="1059"/>
      <c r="D46" s="1059"/>
      <c r="E46" s="1059" t="s">
        <v>33</v>
      </c>
      <c r="F46" s="1059"/>
      <c r="G46" s="1059"/>
      <c r="H46" s="26"/>
      <c r="I46" s="26"/>
      <c r="J46" s="26"/>
      <c r="K46" s="26"/>
      <c r="L46" s="26"/>
      <c r="M46" s="44"/>
      <c r="N46" s="1060"/>
      <c r="O46" s="1060"/>
      <c r="P46" s="44"/>
      <c r="Q46" s="1060"/>
      <c r="R46" s="1060"/>
      <c r="S46" s="44"/>
      <c r="T46" s="27"/>
      <c r="U46" s="6"/>
    </row>
    <row r="47" spans="1:80" ht="16.5" x14ac:dyDescent="0.25">
      <c r="A47" s="1058" t="s">
        <v>32</v>
      </c>
      <c r="B47" s="1059"/>
      <c r="C47" s="1059"/>
      <c r="D47" s="1059"/>
      <c r="E47" s="1059" t="s">
        <v>33</v>
      </c>
      <c r="F47" s="1059"/>
      <c r="G47" s="1059"/>
      <c r="H47" s="26"/>
      <c r="I47" s="26"/>
      <c r="J47" s="26"/>
      <c r="K47" s="26"/>
      <c r="L47" s="26"/>
      <c r="M47" s="44"/>
      <c r="N47" s="1060"/>
      <c r="O47" s="1060"/>
      <c r="P47" s="44"/>
      <c r="Q47" s="1060"/>
      <c r="R47" s="1060"/>
      <c r="S47" s="44"/>
      <c r="T47" s="27"/>
      <c r="U47" s="6"/>
    </row>
    <row r="48" spans="1:80" ht="17.25" thickBot="1" x14ac:dyDescent="0.3">
      <c r="A48" s="28"/>
      <c r="B48" s="29"/>
      <c r="C48" s="30"/>
      <c r="D48" s="43"/>
      <c r="E48" s="31"/>
      <c r="F48" s="1061"/>
      <c r="G48" s="1061"/>
      <c r="H48" s="29"/>
      <c r="I48" s="29"/>
      <c r="J48" s="29"/>
      <c r="K48" s="29"/>
      <c r="L48" s="29"/>
      <c r="M48" s="43"/>
      <c r="N48" s="1061"/>
      <c r="O48" s="1061"/>
      <c r="P48" s="43"/>
      <c r="Q48" s="1061"/>
      <c r="R48" s="1061"/>
      <c r="S48" s="43"/>
      <c r="T48" s="32"/>
      <c r="U48" s="6"/>
    </row>
    <row r="49" spans="1:80" ht="17.25" thickBot="1" x14ac:dyDescent="0.3">
      <c r="A49" s="1062" t="s">
        <v>20</v>
      </c>
      <c r="B49" s="1063"/>
      <c r="C49" s="1063"/>
      <c r="D49" s="1063"/>
      <c r="E49" s="1063"/>
      <c r="F49" s="1063"/>
      <c r="G49" s="1063"/>
      <c r="H49" s="1064"/>
      <c r="I49" s="1001" t="s">
        <v>3</v>
      </c>
      <c r="J49" s="1002"/>
      <c r="K49" s="1003"/>
      <c r="L49" s="1001" t="s">
        <v>4</v>
      </c>
      <c r="M49" s="1002"/>
      <c r="N49" s="1003"/>
      <c r="O49" s="1001" t="s">
        <v>102</v>
      </c>
      <c r="P49" s="1002"/>
      <c r="Q49" s="1003"/>
      <c r="R49" s="1001" t="s">
        <v>103</v>
      </c>
      <c r="S49" s="1002"/>
      <c r="T49" s="1003"/>
      <c r="U49" s="1001" t="s">
        <v>104</v>
      </c>
      <c r="V49" s="1002"/>
      <c r="W49" s="1003"/>
      <c r="X49" s="1001" t="s">
        <v>105</v>
      </c>
      <c r="Y49" s="1002"/>
      <c r="Z49" s="1003"/>
      <c r="AA49" s="1001" t="s">
        <v>106</v>
      </c>
      <c r="AB49" s="1002"/>
      <c r="AC49" s="1003"/>
      <c r="AD49" s="1001" t="s">
        <v>108</v>
      </c>
      <c r="AE49" s="1002"/>
      <c r="AF49" s="1003"/>
      <c r="AG49" s="1001" t="s">
        <v>107</v>
      </c>
      <c r="AH49" s="1002"/>
      <c r="AI49" s="1003"/>
      <c r="AJ49" s="1001" t="s">
        <v>109</v>
      </c>
      <c r="AK49" s="1002"/>
      <c r="AL49" s="1003"/>
      <c r="AM49" s="1001" t="s">
        <v>110</v>
      </c>
      <c r="AN49" s="1002"/>
      <c r="AO49" s="1003"/>
      <c r="AP49" s="1001" t="s">
        <v>111</v>
      </c>
      <c r="AQ49" s="1002"/>
      <c r="AR49" s="1003"/>
      <c r="AS49" s="1001" t="s">
        <v>112</v>
      </c>
      <c r="AT49" s="1002"/>
      <c r="AU49" s="1003"/>
      <c r="AV49" s="1001" t="s">
        <v>113</v>
      </c>
      <c r="AW49" s="1002"/>
      <c r="AX49" s="1003"/>
      <c r="AY49" s="1001" t="s">
        <v>114</v>
      </c>
      <c r="AZ49" s="1002"/>
      <c r="BA49" s="1003"/>
      <c r="BB49" s="1001" t="s">
        <v>115</v>
      </c>
      <c r="BC49" s="1002"/>
      <c r="BD49" s="1003"/>
      <c r="BE49" s="1001" t="s">
        <v>116</v>
      </c>
      <c r="BF49" s="1002"/>
      <c r="BG49" s="1003"/>
      <c r="BH49" s="1001" t="s">
        <v>117</v>
      </c>
      <c r="BI49" s="1002"/>
      <c r="BJ49" s="1003"/>
      <c r="BK49" s="1001" t="s">
        <v>118</v>
      </c>
      <c r="BL49" s="1002"/>
      <c r="BM49" s="1003"/>
      <c r="BN49" s="1001" t="s">
        <v>119</v>
      </c>
      <c r="BO49" s="1002"/>
      <c r="BP49" s="1003"/>
      <c r="BQ49" s="1001" t="s">
        <v>120</v>
      </c>
      <c r="BR49" s="1002"/>
      <c r="BS49" s="1003"/>
      <c r="BT49" s="1001" t="s">
        <v>121</v>
      </c>
      <c r="BU49" s="1002"/>
      <c r="BV49" s="1003"/>
      <c r="BW49" s="1001" t="s">
        <v>122</v>
      </c>
      <c r="BX49" s="1002"/>
      <c r="BY49" s="1003"/>
      <c r="BZ49" s="1001" t="s">
        <v>5</v>
      </c>
      <c r="CA49" s="1002"/>
      <c r="CB49" s="1003"/>
    </row>
    <row r="50" spans="1:80" ht="16.5" customHeight="1" x14ac:dyDescent="0.25">
      <c r="A50" s="1048" t="s">
        <v>21</v>
      </c>
      <c r="B50" s="1049"/>
      <c r="C50" s="1049"/>
      <c r="D50" s="1050"/>
      <c r="E50" s="1066" t="s">
        <v>22</v>
      </c>
      <c r="F50" s="1067"/>
      <c r="G50" s="1068" t="s">
        <v>23</v>
      </c>
      <c r="H50" s="1069"/>
      <c r="I50" s="1014" t="s">
        <v>9</v>
      </c>
      <c r="J50" s="1012" t="s">
        <v>10</v>
      </c>
      <c r="K50" s="1012" t="s">
        <v>11</v>
      </c>
      <c r="L50" s="1014" t="s">
        <v>9</v>
      </c>
      <c r="M50" s="1012" t="s">
        <v>10</v>
      </c>
      <c r="N50" s="1012" t="s">
        <v>11</v>
      </c>
      <c r="O50" s="1014" t="s">
        <v>9</v>
      </c>
      <c r="P50" s="1012" t="s">
        <v>10</v>
      </c>
      <c r="Q50" s="1012" t="s">
        <v>11</v>
      </c>
      <c r="R50" s="1014" t="s">
        <v>9</v>
      </c>
      <c r="S50" s="1012" t="s">
        <v>10</v>
      </c>
      <c r="T50" s="1010" t="s">
        <v>11</v>
      </c>
      <c r="U50" s="1014" t="s">
        <v>9</v>
      </c>
      <c r="V50" s="1012" t="s">
        <v>10</v>
      </c>
      <c r="W50" s="1012" t="s">
        <v>11</v>
      </c>
      <c r="X50" s="1014" t="s">
        <v>9</v>
      </c>
      <c r="Y50" s="1012" t="s">
        <v>10</v>
      </c>
      <c r="Z50" s="1012" t="s">
        <v>11</v>
      </c>
      <c r="AA50" s="1014" t="s">
        <v>9</v>
      </c>
      <c r="AB50" s="1012" t="s">
        <v>10</v>
      </c>
      <c r="AC50" s="1012" t="s">
        <v>11</v>
      </c>
      <c r="AD50" s="1014" t="s">
        <v>9</v>
      </c>
      <c r="AE50" s="1012" t="s">
        <v>10</v>
      </c>
      <c r="AF50" s="1010" t="s">
        <v>11</v>
      </c>
      <c r="AG50" s="1014" t="s">
        <v>9</v>
      </c>
      <c r="AH50" s="1012" t="s">
        <v>10</v>
      </c>
      <c r="AI50" s="1012" t="s">
        <v>11</v>
      </c>
      <c r="AJ50" s="1014" t="s">
        <v>9</v>
      </c>
      <c r="AK50" s="1012" t="s">
        <v>10</v>
      </c>
      <c r="AL50" s="1012" t="s">
        <v>11</v>
      </c>
      <c r="AM50" s="1014" t="s">
        <v>9</v>
      </c>
      <c r="AN50" s="1012" t="s">
        <v>10</v>
      </c>
      <c r="AO50" s="1012" t="s">
        <v>11</v>
      </c>
      <c r="AP50" s="1014" t="s">
        <v>9</v>
      </c>
      <c r="AQ50" s="1012" t="s">
        <v>10</v>
      </c>
      <c r="AR50" s="1010" t="s">
        <v>11</v>
      </c>
      <c r="AS50" s="1014" t="s">
        <v>9</v>
      </c>
      <c r="AT50" s="1012" t="s">
        <v>10</v>
      </c>
      <c r="AU50" s="1012" t="s">
        <v>11</v>
      </c>
      <c r="AV50" s="1014" t="s">
        <v>9</v>
      </c>
      <c r="AW50" s="1012" t="s">
        <v>10</v>
      </c>
      <c r="AX50" s="1012" t="s">
        <v>11</v>
      </c>
      <c r="AY50" s="1014" t="s">
        <v>9</v>
      </c>
      <c r="AZ50" s="1012" t="s">
        <v>10</v>
      </c>
      <c r="BA50" s="1012" t="s">
        <v>11</v>
      </c>
      <c r="BB50" s="1014" t="s">
        <v>9</v>
      </c>
      <c r="BC50" s="1012" t="s">
        <v>10</v>
      </c>
      <c r="BD50" s="1010" t="s">
        <v>11</v>
      </c>
      <c r="BE50" s="1014" t="s">
        <v>9</v>
      </c>
      <c r="BF50" s="1012" t="s">
        <v>10</v>
      </c>
      <c r="BG50" s="1012" t="s">
        <v>11</v>
      </c>
      <c r="BH50" s="1014" t="s">
        <v>9</v>
      </c>
      <c r="BI50" s="1012" t="s">
        <v>10</v>
      </c>
      <c r="BJ50" s="1012" t="s">
        <v>11</v>
      </c>
      <c r="BK50" s="1014" t="s">
        <v>9</v>
      </c>
      <c r="BL50" s="1012" t="s">
        <v>10</v>
      </c>
      <c r="BM50" s="1012" t="s">
        <v>11</v>
      </c>
      <c r="BN50" s="1014" t="s">
        <v>9</v>
      </c>
      <c r="BO50" s="1012" t="s">
        <v>10</v>
      </c>
      <c r="BP50" s="1010" t="s">
        <v>11</v>
      </c>
      <c r="BQ50" s="1014" t="s">
        <v>9</v>
      </c>
      <c r="BR50" s="1012" t="s">
        <v>10</v>
      </c>
      <c r="BS50" s="1012" t="s">
        <v>11</v>
      </c>
      <c r="BT50" s="1014" t="s">
        <v>9</v>
      </c>
      <c r="BU50" s="1012" t="s">
        <v>10</v>
      </c>
      <c r="BV50" s="1012" t="s">
        <v>11</v>
      </c>
      <c r="BW50" s="1014" t="s">
        <v>9</v>
      </c>
      <c r="BX50" s="1012" t="s">
        <v>10</v>
      </c>
      <c r="BY50" s="1012" t="s">
        <v>11</v>
      </c>
      <c r="BZ50" s="1014" t="s">
        <v>9</v>
      </c>
      <c r="CA50" s="1012" t="s">
        <v>10</v>
      </c>
      <c r="CB50" s="1010" t="s">
        <v>11</v>
      </c>
    </row>
    <row r="51" spans="1:80" ht="17.25" thickBot="1" x14ac:dyDescent="0.3">
      <c r="A51" s="1051"/>
      <c r="B51" s="1019"/>
      <c r="C51" s="1018"/>
      <c r="D51" s="1065"/>
      <c r="E51" s="33" t="s">
        <v>24</v>
      </c>
      <c r="F51" s="34" t="s">
        <v>25</v>
      </c>
      <c r="G51" s="34" t="s">
        <v>24</v>
      </c>
      <c r="H51" s="35" t="s">
        <v>25</v>
      </c>
      <c r="I51" s="1015"/>
      <c r="J51" s="1013"/>
      <c r="K51" s="1013"/>
      <c r="L51" s="1015"/>
      <c r="M51" s="1013"/>
      <c r="N51" s="1013"/>
      <c r="O51" s="1015"/>
      <c r="P51" s="1013"/>
      <c r="Q51" s="1013"/>
      <c r="R51" s="1015"/>
      <c r="S51" s="1013"/>
      <c r="T51" s="1011"/>
      <c r="U51" s="1015"/>
      <c r="V51" s="1013"/>
      <c r="W51" s="1013"/>
      <c r="X51" s="1015"/>
      <c r="Y51" s="1013"/>
      <c r="Z51" s="1013"/>
      <c r="AA51" s="1015"/>
      <c r="AB51" s="1013"/>
      <c r="AC51" s="1013"/>
      <c r="AD51" s="1015"/>
      <c r="AE51" s="1013"/>
      <c r="AF51" s="1011"/>
      <c r="AG51" s="1015"/>
      <c r="AH51" s="1013"/>
      <c r="AI51" s="1013"/>
      <c r="AJ51" s="1015"/>
      <c r="AK51" s="1013"/>
      <c r="AL51" s="1013"/>
      <c r="AM51" s="1015"/>
      <c r="AN51" s="1013"/>
      <c r="AO51" s="1013"/>
      <c r="AP51" s="1015"/>
      <c r="AQ51" s="1013"/>
      <c r="AR51" s="1011"/>
      <c r="AS51" s="1015"/>
      <c r="AT51" s="1013"/>
      <c r="AU51" s="1013"/>
      <c r="AV51" s="1015"/>
      <c r="AW51" s="1013"/>
      <c r="AX51" s="1013"/>
      <c r="AY51" s="1015"/>
      <c r="AZ51" s="1013"/>
      <c r="BA51" s="1013"/>
      <c r="BB51" s="1015"/>
      <c r="BC51" s="1013"/>
      <c r="BD51" s="1011"/>
      <c r="BE51" s="1015"/>
      <c r="BF51" s="1013"/>
      <c r="BG51" s="1013"/>
      <c r="BH51" s="1015"/>
      <c r="BI51" s="1013"/>
      <c r="BJ51" s="1013"/>
      <c r="BK51" s="1015"/>
      <c r="BL51" s="1013"/>
      <c r="BM51" s="1013"/>
      <c r="BN51" s="1015"/>
      <c r="BO51" s="1013"/>
      <c r="BP51" s="1011"/>
      <c r="BQ51" s="1015"/>
      <c r="BR51" s="1013"/>
      <c r="BS51" s="1013"/>
      <c r="BT51" s="1015"/>
      <c r="BU51" s="1013"/>
      <c r="BV51" s="1013"/>
      <c r="BW51" s="1015"/>
      <c r="BX51" s="1013"/>
      <c r="BY51" s="1013"/>
      <c r="BZ51" s="1015"/>
      <c r="CA51" s="1013"/>
      <c r="CB51" s="1011"/>
    </row>
    <row r="52" spans="1:80" ht="45" customHeight="1" thickBot="1" x14ac:dyDescent="0.25">
      <c r="A52" s="1071" t="s">
        <v>38</v>
      </c>
      <c r="B52" s="45" t="s">
        <v>26</v>
      </c>
      <c r="C52" s="1020" t="s">
        <v>40</v>
      </c>
      <c r="D52" s="1022"/>
      <c r="E52" s="36">
        <v>49.8</v>
      </c>
      <c r="F52" s="92">
        <v>35</v>
      </c>
      <c r="G52" s="92">
        <v>49.1</v>
      </c>
      <c r="H52" s="93">
        <v>23</v>
      </c>
      <c r="I52" s="94">
        <v>0</v>
      </c>
      <c r="J52" s="95">
        <f>I52*I19/1000*0.5</f>
        <v>0</v>
      </c>
      <c r="K52" s="96">
        <f>I52*I19/1000*0.5</f>
        <v>0</v>
      </c>
      <c r="L52" s="94">
        <v>0</v>
      </c>
      <c r="M52" s="95">
        <f>L52*L19/1000*0.5</f>
        <v>0</v>
      </c>
      <c r="N52" s="96">
        <f>L52*L19/1000*0.5</f>
        <v>0</v>
      </c>
      <c r="O52" s="94">
        <v>0</v>
      </c>
      <c r="P52" s="95">
        <f>O52*O19/1000*0.5</f>
        <v>0</v>
      </c>
      <c r="Q52" s="96">
        <f>O52*O19/1000*0.5</f>
        <v>0</v>
      </c>
      <c r="R52" s="94">
        <v>0</v>
      </c>
      <c r="S52" s="95">
        <f>R52*R19/1000*0.5</f>
        <v>0</v>
      </c>
      <c r="T52" s="96">
        <f>R52*R19/1000*0.5</f>
        <v>0</v>
      </c>
      <c r="U52" s="94">
        <v>0</v>
      </c>
      <c r="V52" s="95">
        <f>U52*U19/1000*0.5</f>
        <v>0</v>
      </c>
      <c r="W52" s="96">
        <f>U52*U19/1000*0.5</f>
        <v>0</v>
      </c>
      <c r="X52" s="94">
        <v>0</v>
      </c>
      <c r="Y52" s="95">
        <f>X52*X19/1000*0.5</f>
        <v>0</v>
      </c>
      <c r="Z52" s="96">
        <f>X52*X19/1000*0.5</f>
        <v>0</v>
      </c>
      <c r="AA52" s="68">
        <v>18</v>
      </c>
      <c r="AB52" s="97">
        <f>AA52*AA19/1000*0.5</f>
        <v>0.32130000000000003</v>
      </c>
      <c r="AC52" s="98">
        <f>AA52*AA19/1000*0.5</f>
        <v>0.32130000000000003</v>
      </c>
      <c r="AD52" s="68">
        <v>18</v>
      </c>
      <c r="AE52" s="95">
        <f>AD52*AD19/1000*0.5</f>
        <v>0.32130000000000003</v>
      </c>
      <c r="AF52" s="96">
        <f>AD52*AD19/1000*0.5</f>
        <v>0.32130000000000003</v>
      </c>
      <c r="AG52" s="68">
        <v>18</v>
      </c>
      <c r="AH52" s="95">
        <f>AG52*AG19/1000*0.5</f>
        <v>0.32130000000000003</v>
      </c>
      <c r="AI52" s="96">
        <f>AG52*AG19/1000*0.5</f>
        <v>0.32130000000000003</v>
      </c>
      <c r="AJ52" s="68">
        <v>18</v>
      </c>
      <c r="AK52" s="95">
        <f>AJ52*AJ19/1000*0.5</f>
        <v>0.32130000000000003</v>
      </c>
      <c r="AL52" s="96">
        <f>AJ52*AJ19/1000*0.5</f>
        <v>0.32130000000000003</v>
      </c>
      <c r="AM52" s="68">
        <v>18</v>
      </c>
      <c r="AN52" s="95">
        <f>AM52*AM19/1000*0.5</f>
        <v>0.32130000000000003</v>
      </c>
      <c r="AO52" s="96">
        <f>AM52*AM19/1000*0.5</f>
        <v>0.32130000000000003</v>
      </c>
      <c r="AP52" s="68">
        <v>18</v>
      </c>
      <c r="AQ52" s="95">
        <f>AP52*AP19/1000*0.5</f>
        <v>0.32130000000000003</v>
      </c>
      <c r="AR52" s="96">
        <f>AP52*AP19/1000*0.5</f>
        <v>0.32130000000000003</v>
      </c>
      <c r="AS52" s="68">
        <v>18</v>
      </c>
      <c r="AT52" s="95">
        <f>AS52*AS19/1000*0.5</f>
        <v>0.32130000000000003</v>
      </c>
      <c r="AU52" s="96">
        <f>AS52*AS19/1000*0.5</f>
        <v>0.32130000000000003</v>
      </c>
      <c r="AV52" s="68">
        <v>18</v>
      </c>
      <c r="AW52" s="95">
        <f>AV52*AV19/1000*0.5</f>
        <v>0.32130000000000003</v>
      </c>
      <c r="AX52" s="96">
        <f>AV52*AV19/1000*0.5</f>
        <v>0.32130000000000003</v>
      </c>
      <c r="AY52" s="68">
        <v>18</v>
      </c>
      <c r="AZ52" s="95">
        <f>AY52*AY19/1000*0.5</f>
        <v>0.32130000000000003</v>
      </c>
      <c r="BA52" s="96">
        <f>AY52*AY19/1000*0.5</f>
        <v>0.32130000000000003</v>
      </c>
      <c r="BB52" s="68">
        <v>18</v>
      </c>
      <c r="BC52" s="95">
        <f>BB52*BB19/1000*0.5</f>
        <v>0.32130000000000003</v>
      </c>
      <c r="BD52" s="96">
        <f>BB52*BB19/1000*0.5</f>
        <v>0.32130000000000003</v>
      </c>
      <c r="BE52" s="68">
        <v>18</v>
      </c>
      <c r="BF52" s="95">
        <f>BE52*BE19/1000*0.5</f>
        <v>0.32130000000000003</v>
      </c>
      <c r="BG52" s="96">
        <f>BE52*BE19/1000*0.5</f>
        <v>0.32130000000000003</v>
      </c>
      <c r="BH52" s="68">
        <v>18</v>
      </c>
      <c r="BI52" s="95">
        <f>BH52*BH19/1000*0.5</f>
        <v>0.32130000000000003</v>
      </c>
      <c r="BJ52" s="96">
        <f>BH52*BH19/1000*0.5</f>
        <v>0.32130000000000003</v>
      </c>
      <c r="BK52" s="68">
        <v>18</v>
      </c>
      <c r="BL52" s="95">
        <f>BK52*BK19/1000*0.5</f>
        <v>0.32130000000000003</v>
      </c>
      <c r="BM52" s="96">
        <f>BK52*BK19/1000*0.5</f>
        <v>0.32130000000000003</v>
      </c>
      <c r="BN52" s="68">
        <v>18</v>
      </c>
      <c r="BO52" s="95">
        <f>BN52*BN19/1000*0.5</f>
        <v>0.32130000000000003</v>
      </c>
      <c r="BP52" s="96">
        <f>BN52*BN19/1000*0.5</f>
        <v>0.32130000000000003</v>
      </c>
      <c r="BQ52" s="68">
        <v>18</v>
      </c>
      <c r="BR52" s="95">
        <f>BQ52*BQ19/1000*0.5</f>
        <v>0.32130000000000003</v>
      </c>
      <c r="BS52" s="96">
        <f>BQ52*BQ19/1000*0.5</f>
        <v>0.32130000000000003</v>
      </c>
      <c r="BT52" s="68">
        <v>0</v>
      </c>
      <c r="BU52" s="95">
        <f>BT52*BT19/1000*0.5</f>
        <v>0</v>
      </c>
      <c r="BV52" s="96">
        <f>BT52*BT19/1000*0.5</f>
        <v>0</v>
      </c>
      <c r="BW52" s="68">
        <v>0</v>
      </c>
      <c r="BX52" s="95">
        <f>BW52*BW19/1000*0.5</f>
        <v>0</v>
      </c>
      <c r="BY52" s="96">
        <f>BW52*BW19/1000*0.5</f>
        <v>0</v>
      </c>
      <c r="BZ52" s="68">
        <v>0</v>
      </c>
      <c r="CA52" s="95">
        <f>BZ52*BZ19/1000*0.5</f>
        <v>0</v>
      </c>
      <c r="CB52" s="96">
        <f>BZ52*BZ19/1000*0.5</f>
        <v>0</v>
      </c>
    </row>
    <row r="53" spans="1:80" ht="45" customHeight="1" thickBot="1" x14ac:dyDescent="0.25">
      <c r="A53" s="1072"/>
      <c r="B53" s="46" t="s">
        <v>27</v>
      </c>
      <c r="C53" s="1020" t="s">
        <v>41</v>
      </c>
      <c r="D53" s="1022"/>
      <c r="E53" s="36">
        <v>49.8</v>
      </c>
      <c r="F53" s="92">
        <v>35</v>
      </c>
      <c r="G53" s="92">
        <v>49.1</v>
      </c>
      <c r="H53" s="93">
        <v>23</v>
      </c>
      <c r="I53" s="99">
        <v>24</v>
      </c>
      <c r="J53" s="100">
        <f>I27*I53/1000*0.4238</f>
        <v>0.36311184000000007</v>
      </c>
      <c r="K53" s="101">
        <f>I27*I53/1000*(1-0.4238)</f>
        <v>0.4936881600000001</v>
      </c>
      <c r="L53" s="99">
        <v>24</v>
      </c>
      <c r="M53" s="100">
        <f>L27*L53/1000*0.4238</f>
        <v>0.36311184000000007</v>
      </c>
      <c r="N53" s="101">
        <f>L27*L53/1000*(1-0.4238)</f>
        <v>0.4936881600000001</v>
      </c>
      <c r="O53" s="99">
        <v>24</v>
      </c>
      <c r="P53" s="100">
        <f>O27*O53/1000*0.4238</f>
        <v>0.36311184000000007</v>
      </c>
      <c r="Q53" s="101">
        <f>O27*O53/1000*(1-0.4238)</f>
        <v>0.4936881600000001</v>
      </c>
      <c r="R53" s="99">
        <v>24</v>
      </c>
      <c r="S53" s="100">
        <f>R27*R53/1000*0.4238</f>
        <v>0.36311184000000007</v>
      </c>
      <c r="T53" s="101">
        <f>R27*R53/1000*(1-0.4238)</f>
        <v>0.4936881600000001</v>
      </c>
      <c r="U53" s="99">
        <v>24</v>
      </c>
      <c r="V53" s="100">
        <f>U27*U53/1000*0.4238</f>
        <v>0.36311184000000007</v>
      </c>
      <c r="W53" s="101">
        <f>U27*U53/1000*(1-0.4238)</f>
        <v>0.4936881600000001</v>
      </c>
      <c r="X53" s="99">
        <v>24</v>
      </c>
      <c r="Y53" s="100">
        <f>X27*X53/1000*0.4238</f>
        <v>0.36311184000000007</v>
      </c>
      <c r="Z53" s="101">
        <f>X27*X53/1000*(1-0.4238)</f>
        <v>0.4936881600000001</v>
      </c>
      <c r="AA53" s="99">
        <v>33</v>
      </c>
      <c r="AB53" s="102">
        <f>AA27*AA53/1000*0.4238</f>
        <v>0.49927878000000009</v>
      </c>
      <c r="AC53" s="103">
        <f>AA27*AA53/1000*(1-0.4238)</f>
        <v>0.67882122000000011</v>
      </c>
      <c r="AD53" s="99">
        <v>33</v>
      </c>
      <c r="AE53" s="100">
        <f>AD27*AD53/1000*0.4238</f>
        <v>0.49927878000000009</v>
      </c>
      <c r="AF53" s="101">
        <f>AD27*AD53/1000*(1-0.4238)</f>
        <v>0.67882122000000011</v>
      </c>
      <c r="AG53" s="99">
        <v>33</v>
      </c>
      <c r="AH53" s="100">
        <f>AG27*AG53/1000*0.4238</f>
        <v>0.49927878000000009</v>
      </c>
      <c r="AI53" s="101">
        <f>AG27*AG53/1000*(1-0.4238)</f>
        <v>0.67882122000000011</v>
      </c>
      <c r="AJ53" s="99">
        <v>33</v>
      </c>
      <c r="AK53" s="100">
        <f>AJ27*AJ53/1000*0.4238</f>
        <v>0.49927878000000009</v>
      </c>
      <c r="AL53" s="101">
        <f>AJ27*AJ53/1000*(1-0.4238)</f>
        <v>0.67882122000000011</v>
      </c>
      <c r="AM53" s="99">
        <v>33</v>
      </c>
      <c r="AN53" s="100">
        <f>AM27*AM53/1000*0.4238</f>
        <v>0.49927878000000009</v>
      </c>
      <c r="AO53" s="101">
        <f>AM27*AM53/1000*(1-0.4238)</f>
        <v>0.67882122000000011</v>
      </c>
      <c r="AP53" s="99">
        <v>33</v>
      </c>
      <c r="AQ53" s="100">
        <f>AP27*AP53/1000*0.4238</f>
        <v>0.49927878000000009</v>
      </c>
      <c r="AR53" s="101">
        <f>AP27*AP53/1000*(1-0.4238)</f>
        <v>0.67882122000000011</v>
      </c>
      <c r="AS53" s="99">
        <v>33</v>
      </c>
      <c r="AT53" s="100">
        <f>AS27*AS53/1000*0.4238</f>
        <v>0.49927878000000009</v>
      </c>
      <c r="AU53" s="101">
        <f>AS27*AS53/1000*(1-0.4238)</f>
        <v>0.67882122000000011</v>
      </c>
      <c r="AV53" s="99">
        <v>33</v>
      </c>
      <c r="AW53" s="100">
        <f>AV27*AV53/1000*0.4238</f>
        <v>0.49927878000000009</v>
      </c>
      <c r="AX53" s="101">
        <f>AV27*AV53/1000*(1-0.4238)</f>
        <v>0.67882122000000011</v>
      </c>
      <c r="AY53" s="99">
        <v>33</v>
      </c>
      <c r="AZ53" s="100">
        <f>AY27*AY53/1000*0.4238</f>
        <v>0.49927878000000009</v>
      </c>
      <c r="BA53" s="101">
        <f>AY27*AY53/1000*(1-0.4238)</f>
        <v>0.67882122000000011</v>
      </c>
      <c r="BB53" s="99">
        <v>33</v>
      </c>
      <c r="BC53" s="100">
        <f>BB27*BB53/1000*0.4238</f>
        <v>0.49927878000000009</v>
      </c>
      <c r="BD53" s="101">
        <f>BB27*BB53/1000*(1-0.4238)</f>
        <v>0.67882122000000011</v>
      </c>
      <c r="BE53" s="99">
        <v>33</v>
      </c>
      <c r="BF53" s="100">
        <f>BE27*BE53/1000*0.4238</f>
        <v>0.49927878000000009</v>
      </c>
      <c r="BG53" s="101">
        <f>BE27*BE53/1000*(1-0.4238)</f>
        <v>0.67882122000000011</v>
      </c>
      <c r="BH53" s="99">
        <v>33</v>
      </c>
      <c r="BI53" s="100">
        <f>BH27*BH53/1000*0.4238</f>
        <v>0.49927878000000009</v>
      </c>
      <c r="BJ53" s="101">
        <f>BH27*BH53/1000*(1-0.4238)</f>
        <v>0.67882122000000011</v>
      </c>
      <c r="BK53" s="99">
        <v>33</v>
      </c>
      <c r="BL53" s="100">
        <f>BK27*BK53/1000*0.4238</f>
        <v>0.49927878000000009</v>
      </c>
      <c r="BM53" s="101">
        <f>BK27*BK53/1000*(1-0.4238)</f>
        <v>0.67882122000000011</v>
      </c>
      <c r="BN53" s="99">
        <v>33</v>
      </c>
      <c r="BO53" s="100">
        <f>BN27*BN53/1000*0.4238</f>
        <v>0.49927878000000009</v>
      </c>
      <c r="BP53" s="101">
        <f>BN27*BN53/1000*(1-0.4238)</f>
        <v>0.67882122000000011</v>
      </c>
      <c r="BQ53" s="99">
        <v>33</v>
      </c>
      <c r="BR53" s="100">
        <f>BQ27*BQ53/1000*0.4238</f>
        <v>0.49927878000000009</v>
      </c>
      <c r="BS53" s="101">
        <f>BQ27*BQ53/1000*(1-0.4238)</f>
        <v>0.67882122000000011</v>
      </c>
      <c r="BT53" s="99">
        <v>30</v>
      </c>
      <c r="BU53" s="100">
        <f>BT27*BT53/1000*0.4238</f>
        <v>0.45388980000000001</v>
      </c>
      <c r="BV53" s="101">
        <f>BT27*BT53/1000*(1-0.4238)</f>
        <v>0.61711020000000005</v>
      </c>
      <c r="BW53" s="99">
        <v>30</v>
      </c>
      <c r="BX53" s="100">
        <f>BW27*BW53/1000*0.4238</f>
        <v>0.45388980000000001</v>
      </c>
      <c r="BY53" s="101">
        <f>BW27*BW53/1000*(1-0.4238)</f>
        <v>0.61711020000000005</v>
      </c>
      <c r="BZ53" s="99">
        <v>30</v>
      </c>
      <c r="CA53" s="100">
        <f>BZ27*BZ53/1000*0.4238</f>
        <v>0.45388980000000001</v>
      </c>
      <c r="CB53" s="101">
        <f>BZ27*BZ53/1000*(1-0.4238)</f>
        <v>0.61711020000000005</v>
      </c>
    </row>
    <row r="54" spans="1:80" ht="45" customHeight="1" thickBot="1" x14ac:dyDescent="0.25">
      <c r="A54" s="54" t="s">
        <v>39</v>
      </c>
      <c r="B54" s="55" t="s">
        <v>26</v>
      </c>
      <c r="C54" s="51" t="s">
        <v>42</v>
      </c>
      <c r="D54" s="52" t="s">
        <v>123</v>
      </c>
      <c r="E54" s="36">
        <v>49.8</v>
      </c>
      <c r="F54" s="92">
        <v>40</v>
      </c>
      <c r="G54" s="92">
        <v>49.1</v>
      </c>
      <c r="H54" s="93">
        <v>17</v>
      </c>
      <c r="I54" s="69">
        <v>20</v>
      </c>
      <c r="J54" s="104">
        <f>I54*I20/1000*0.9366</f>
        <v>0.1910664</v>
      </c>
      <c r="K54" s="105">
        <f>I54*I20/1000*(1-0.9366)</f>
        <v>1.2933600000000002E-2</v>
      </c>
      <c r="L54" s="69">
        <v>20</v>
      </c>
      <c r="M54" s="104">
        <f>L54*L20/1000*0.9366</f>
        <v>0.1910664</v>
      </c>
      <c r="N54" s="105">
        <f>L54*L20/1000*(1-0.9366)</f>
        <v>1.2933600000000002E-2</v>
      </c>
      <c r="O54" s="69">
        <v>20</v>
      </c>
      <c r="P54" s="104">
        <f>O54*O20/1000*0.9366</f>
        <v>0.1910664</v>
      </c>
      <c r="Q54" s="105">
        <f>O54*O20/1000*(1-0.9366)</f>
        <v>1.2933600000000002E-2</v>
      </c>
      <c r="R54" s="69">
        <v>20</v>
      </c>
      <c r="S54" s="104">
        <f>R54*R20/1000*0.9366</f>
        <v>0.1910664</v>
      </c>
      <c r="T54" s="105">
        <f>R54*R20/1000*(1-0.9366)</f>
        <v>1.2933600000000002E-2</v>
      </c>
      <c r="U54" s="69">
        <v>20</v>
      </c>
      <c r="V54" s="104">
        <f>U54*U20/1000*0.9366</f>
        <v>0.1910664</v>
      </c>
      <c r="W54" s="105">
        <f>U54*U20/1000*(1-0.9366)</f>
        <v>1.2933600000000002E-2</v>
      </c>
      <c r="X54" s="69">
        <v>20</v>
      </c>
      <c r="Y54" s="104">
        <f>X54*X20/1000*0.9366</f>
        <v>0.1910664</v>
      </c>
      <c r="Z54" s="105">
        <f>X54*X20/1000*(1-0.9366)</f>
        <v>1.2933600000000002E-2</v>
      </c>
      <c r="AA54" s="69">
        <v>40</v>
      </c>
      <c r="AB54" s="70">
        <f>AA54*AA20/1000*0.9366</f>
        <v>0.38213279999999999</v>
      </c>
      <c r="AC54" s="106">
        <f>AA54*AA20/1000*(1-0.9366)</f>
        <v>2.5867200000000003E-2</v>
      </c>
      <c r="AD54" s="69">
        <v>40</v>
      </c>
      <c r="AE54" s="104">
        <f>AD54*AD20/1000*0.9366</f>
        <v>0.38213279999999999</v>
      </c>
      <c r="AF54" s="105">
        <f>AD54*AD20/1000*(1-0.9366)</f>
        <v>2.5867200000000003E-2</v>
      </c>
      <c r="AG54" s="69">
        <v>40</v>
      </c>
      <c r="AH54" s="104">
        <f>AG54*AG20/1000*0.9366</f>
        <v>0.38213279999999999</v>
      </c>
      <c r="AI54" s="105">
        <f>AG54*AG20/1000*(1-0.9366)</f>
        <v>2.5867200000000003E-2</v>
      </c>
      <c r="AJ54" s="69">
        <v>40</v>
      </c>
      <c r="AK54" s="104">
        <f>AJ54*AJ20/1000*0.9366</f>
        <v>0.38213279999999999</v>
      </c>
      <c r="AL54" s="105">
        <f>AJ54*AJ20/1000*(1-0.9366)</f>
        <v>2.5867200000000003E-2</v>
      </c>
      <c r="AM54" s="69">
        <v>40</v>
      </c>
      <c r="AN54" s="104">
        <f>AM54*AM20/1000*0.9366</f>
        <v>0.38213279999999999</v>
      </c>
      <c r="AO54" s="105">
        <f>AM54*AM20/1000*(1-0.9366)</f>
        <v>2.5867200000000003E-2</v>
      </c>
      <c r="AP54" s="69">
        <v>40</v>
      </c>
      <c r="AQ54" s="104">
        <f>AP54*AP20/1000*0.9366</f>
        <v>0.38213279999999999</v>
      </c>
      <c r="AR54" s="105">
        <f>AP54*AP20/1000*(1-0.9366)</f>
        <v>2.5867200000000003E-2</v>
      </c>
      <c r="AS54" s="69">
        <v>40</v>
      </c>
      <c r="AT54" s="104">
        <f>AS54*AS20/1000*0.9366</f>
        <v>0.38213279999999999</v>
      </c>
      <c r="AU54" s="105">
        <f>AS54*AS20/1000*(1-0.9366)</f>
        <v>2.5867200000000003E-2</v>
      </c>
      <c r="AV54" s="69">
        <v>40</v>
      </c>
      <c r="AW54" s="104">
        <f>AV54*AV20/1000*0.9366</f>
        <v>0.38213279999999999</v>
      </c>
      <c r="AX54" s="105">
        <f>AV54*AV20/1000*(1-0.9366)</f>
        <v>2.5867200000000003E-2</v>
      </c>
      <c r="AY54" s="69">
        <v>40</v>
      </c>
      <c r="AZ54" s="104">
        <f>AY54*AY20/1000*0.9366</f>
        <v>0.38213279999999999</v>
      </c>
      <c r="BA54" s="105">
        <f>AY54*AY20/1000*(1-0.9366)</f>
        <v>2.5867200000000003E-2</v>
      </c>
      <c r="BB54" s="69">
        <v>40</v>
      </c>
      <c r="BC54" s="104">
        <f>BB54*BB20/1000*0.9366</f>
        <v>0.38213279999999999</v>
      </c>
      <c r="BD54" s="105">
        <f>BB54*BB20/1000*(1-0.9366)</f>
        <v>2.5867200000000003E-2</v>
      </c>
      <c r="BE54" s="69">
        <v>40</v>
      </c>
      <c r="BF54" s="104">
        <f>BE54*BE20/1000*0.9366</f>
        <v>0.38213279999999999</v>
      </c>
      <c r="BG54" s="105">
        <f>BE54*BE20/1000*(1-0.9366)</f>
        <v>2.5867200000000003E-2</v>
      </c>
      <c r="BH54" s="69">
        <v>40</v>
      </c>
      <c r="BI54" s="104">
        <f>BH54*BH20/1000*0.9366</f>
        <v>0.38213279999999999</v>
      </c>
      <c r="BJ54" s="105">
        <f>BH54*BH20/1000*(1-0.9366)</f>
        <v>2.5867200000000003E-2</v>
      </c>
      <c r="BK54" s="69">
        <v>40</v>
      </c>
      <c r="BL54" s="104">
        <f>BK54*BK20/1000*0.9366</f>
        <v>0.38213279999999999</v>
      </c>
      <c r="BM54" s="105">
        <f>BK54*BK20/1000*(1-0.9366)</f>
        <v>2.5867200000000003E-2</v>
      </c>
      <c r="BN54" s="69">
        <v>40</v>
      </c>
      <c r="BO54" s="104">
        <f>BN54*BN20/1000*0.9366</f>
        <v>0.38213279999999999</v>
      </c>
      <c r="BP54" s="105">
        <f>BN54*BN20/1000*(1-0.9366)</f>
        <v>2.5867200000000003E-2</v>
      </c>
      <c r="BQ54" s="69">
        <v>40</v>
      </c>
      <c r="BR54" s="104">
        <f>BQ54*BQ20/1000*0.9366</f>
        <v>0.38213279999999999</v>
      </c>
      <c r="BS54" s="105">
        <f>BQ54*BQ20/1000*(1-0.9366)</f>
        <v>2.5867200000000003E-2</v>
      </c>
      <c r="BT54" s="69">
        <v>20</v>
      </c>
      <c r="BU54" s="104">
        <f>BT54*BT20/1000*0.9366</f>
        <v>0.1910664</v>
      </c>
      <c r="BV54" s="105">
        <f>BT54*BT20/1000*(1-0.9366)</f>
        <v>1.2933600000000002E-2</v>
      </c>
      <c r="BW54" s="69">
        <v>20</v>
      </c>
      <c r="BX54" s="104">
        <f>BW54*BW20/1000*0.9366</f>
        <v>0.1910664</v>
      </c>
      <c r="BY54" s="105">
        <f>BW54*BW20/1000*(1-0.9366)</f>
        <v>1.2933600000000002E-2</v>
      </c>
      <c r="BZ54" s="69">
        <v>20</v>
      </c>
      <c r="CA54" s="104">
        <f>BZ54*BZ20/1000*0.9366</f>
        <v>0.1910664</v>
      </c>
      <c r="CB54" s="105">
        <f>BZ54*BZ20/1000*(1-0.9366)</f>
        <v>1.2933600000000002E-2</v>
      </c>
    </row>
    <row r="55" spans="1:80" ht="16.5" customHeight="1" x14ac:dyDescent="0.25">
      <c r="A55" s="1070" t="s">
        <v>28</v>
      </c>
      <c r="B55" s="1018"/>
      <c r="C55" s="1018"/>
      <c r="D55" s="1018"/>
      <c r="E55" s="1026" t="s">
        <v>125</v>
      </c>
      <c r="F55" s="1027"/>
      <c r="G55" s="1027"/>
      <c r="H55" s="1027"/>
      <c r="I55" s="1027"/>
      <c r="J55" s="1027"/>
      <c r="K55" s="1027"/>
      <c r="L55" s="1027"/>
      <c r="M55" s="1027"/>
      <c r="N55" s="1027"/>
      <c r="O55" s="1027"/>
      <c r="P55" s="1027"/>
      <c r="Q55" s="1027"/>
      <c r="R55" s="1027"/>
      <c r="S55" s="1027"/>
      <c r="T55" s="1028"/>
      <c r="U55" s="1"/>
    </row>
    <row r="56" spans="1:80" ht="15" x14ac:dyDescent="0.25">
      <c r="A56" s="1070"/>
      <c r="B56" s="1018"/>
      <c r="C56" s="1018"/>
      <c r="D56" s="1018"/>
      <c r="E56" s="1026"/>
      <c r="F56" s="1027"/>
      <c r="G56" s="1027"/>
      <c r="H56" s="1027"/>
      <c r="I56" s="1027"/>
      <c r="J56" s="1027"/>
      <c r="K56" s="1027"/>
      <c r="L56" s="1027"/>
      <c r="M56" s="1027"/>
      <c r="N56" s="1027"/>
      <c r="O56" s="1027"/>
      <c r="P56" s="1027"/>
      <c r="Q56" s="1027"/>
      <c r="R56" s="1027"/>
      <c r="S56" s="1027"/>
      <c r="T56" s="1028"/>
      <c r="U56" s="1"/>
    </row>
    <row r="57" spans="1:80" ht="15.75" thickBot="1" x14ac:dyDescent="0.3">
      <c r="A57" s="1051"/>
      <c r="B57" s="1019"/>
      <c r="C57" s="1019"/>
      <c r="D57" s="1019"/>
      <c r="E57" s="1029"/>
      <c r="F57" s="1030"/>
      <c r="G57" s="1030"/>
      <c r="H57" s="1030"/>
      <c r="I57" s="1030"/>
      <c r="J57" s="1030"/>
      <c r="K57" s="1030"/>
      <c r="L57" s="1030"/>
      <c r="M57" s="1030"/>
      <c r="N57" s="1030"/>
      <c r="O57" s="1030"/>
      <c r="P57" s="1030"/>
      <c r="Q57" s="1030"/>
      <c r="R57" s="1030"/>
      <c r="S57" s="1030"/>
      <c r="T57" s="1031"/>
      <c r="U57" s="1"/>
    </row>
    <row r="58" spans="1:80" ht="13.5" customHeight="1" x14ac:dyDescent="0.25">
      <c r="U58" s="1"/>
    </row>
    <row r="59" spans="1:80" ht="12.75" hidden="1" customHeight="1" x14ac:dyDescent="0.25">
      <c r="U59" s="1"/>
    </row>
    <row r="60" spans="1:80" ht="15" x14ac:dyDescent="0.25">
      <c r="U60" s="1"/>
    </row>
    <row r="61" spans="1:80" ht="15" x14ac:dyDescent="0.25">
      <c r="U61" s="1"/>
    </row>
    <row r="62" spans="1:80" ht="15" x14ac:dyDescent="0.25">
      <c r="U62" s="1"/>
    </row>
    <row r="63" spans="1:80" ht="12" customHeight="1" x14ac:dyDescent="0.25">
      <c r="A63" s="3"/>
      <c r="B63" s="4"/>
      <c r="C63" s="5"/>
      <c r="D63" s="3"/>
      <c r="U63" s="1"/>
    </row>
    <row r="64" spans="1:80" ht="15" x14ac:dyDescent="0.25">
      <c r="U64" s="1"/>
    </row>
    <row r="65" spans="1:21" ht="13.5" customHeight="1" x14ac:dyDescent="0.25">
      <c r="U65" s="1"/>
    </row>
    <row r="66" spans="1:21" ht="15" hidden="1" x14ac:dyDescent="0.25">
      <c r="U66" s="1"/>
    </row>
    <row r="67" spans="1:21" ht="15" hidden="1" x14ac:dyDescent="0.25">
      <c r="U67" s="1"/>
    </row>
    <row r="68" spans="1:21" ht="15.75" hidden="1" customHeight="1" thickBot="1" x14ac:dyDescent="0.3">
      <c r="U68" s="1"/>
    </row>
    <row r="69" spans="1:21" ht="15" hidden="1" x14ac:dyDescent="0.25">
      <c r="U69" s="1"/>
    </row>
    <row r="70" spans="1:21" ht="15" x14ac:dyDescent="0.25">
      <c r="U70" s="1"/>
    </row>
    <row r="71" spans="1:21" ht="15" x14ac:dyDescent="0.25">
      <c r="U71" s="1"/>
    </row>
    <row r="72" spans="1:21" ht="15" x14ac:dyDescent="0.25">
      <c r="U72" s="1"/>
    </row>
    <row r="73" spans="1:21" s="3" customForma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1" s="3" customForma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</sheetData>
  <mergeCells count="697">
    <mergeCell ref="A55:D57"/>
    <mergeCell ref="E55:T57"/>
    <mergeCell ref="C52:D52"/>
    <mergeCell ref="C53:D53"/>
    <mergeCell ref="Q50:Q51"/>
    <mergeCell ref="R50:R51"/>
    <mergeCell ref="S50:S51"/>
    <mergeCell ref="T50:T51"/>
    <mergeCell ref="A52:A53"/>
    <mergeCell ref="K50:K51"/>
    <mergeCell ref="L50:L51"/>
    <mergeCell ref="M50:M51"/>
    <mergeCell ref="N50:N51"/>
    <mergeCell ref="O50:O51"/>
    <mergeCell ref="P50:P51"/>
    <mergeCell ref="A49:H49"/>
    <mergeCell ref="I49:K49"/>
    <mergeCell ref="L49:N49"/>
    <mergeCell ref="O49:Q49"/>
    <mergeCell ref="R49:T49"/>
    <mergeCell ref="A50:D51"/>
    <mergeCell ref="E50:F50"/>
    <mergeCell ref="G50:H50"/>
    <mergeCell ref="I50:I51"/>
    <mergeCell ref="J50:J51"/>
    <mergeCell ref="A47:D47"/>
    <mergeCell ref="E47:G47"/>
    <mergeCell ref="N47:O47"/>
    <mergeCell ref="Q47:R47"/>
    <mergeCell ref="F48:G48"/>
    <mergeCell ref="N48:O48"/>
    <mergeCell ref="Q48:R48"/>
    <mergeCell ref="A45:D45"/>
    <mergeCell ref="E45:G45"/>
    <mergeCell ref="N45:O45"/>
    <mergeCell ref="Q45:R45"/>
    <mergeCell ref="A46:D46"/>
    <mergeCell ref="E46:G46"/>
    <mergeCell ref="N46:O46"/>
    <mergeCell ref="Q46:R46"/>
    <mergeCell ref="A42:D43"/>
    <mergeCell ref="E42:H42"/>
    <mergeCell ref="E43:H43"/>
    <mergeCell ref="F44:G44"/>
    <mergeCell ref="N44:O44"/>
    <mergeCell ref="Q44:R44"/>
    <mergeCell ref="T36:T38"/>
    <mergeCell ref="E39:F41"/>
    <mergeCell ref="G39:H41"/>
    <mergeCell ref="I39:K41"/>
    <mergeCell ref="L39:N41"/>
    <mergeCell ref="O39:Q41"/>
    <mergeCell ref="R39:T41"/>
    <mergeCell ref="N36:N38"/>
    <mergeCell ref="O36:O38"/>
    <mergeCell ref="P36:P38"/>
    <mergeCell ref="Q36:Q38"/>
    <mergeCell ref="R36:R38"/>
    <mergeCell ref="S36:S38"/>
    <mergeCell ref="L30:L32"/>
    <mergeCell ref="M30:M32"/>
    <mergeCell ref="N30:N32"/>
    <mergeCell ref="O30:O32"/>
    <mergeCell ref="R33:T35"/>
    <mergeCell ref="A36:C41"/>
    <mergeCell ref="D36:D41"/>
    <mergeCell ref="E36:F38"/>
    <mergeCell ref="G36:H38"/>
    <mergeCell ref="I36:I38"/>
    <mergeCell ref="J36:J38"/>
    <mergeCell ref="K36:K38"/>
    <mergeCell ref="L36:L38"/>
    <mergeCell ref="M36:M38"/>
    <mergeCell ref="E29:H29"/>
    <mergeCell ref="I29:K29"/>
    <mergeCell ref="L29:N29"/>
    <mergeCell ref="O29:Q29"/>
    <mergeCell ref="R29:T29"/>
    <mergeCell ref="A30:C35"/>
    <mergeCell ref="D30:D35"/>
    <mergeCell ref="E30:F32"/>
    <mergeCell ref="G30:H32"/>
    <mergeCell ref="I30:I32"/>
    <mergeCell ref="A22:C29"/>
    <mergeCell ref="D22:D29"/>
    <mergeCell ref="P30:P32"/>
    <mergeCell ref="Q30:Q32"/>
    <mergeCell ref="R30:R32"/>
    <mergeCell ref="S30:S32"/>
    <mergeCell ref="T30:T32"/>
    <mergeCell ref="E33:F35"/>
    <mergeCell ref="G33:H35"/>
    <mergeCell ref="I33:K35"/>
    <mergeCell ref="L33:N35"/>
    <mergeCell ref="O33:Q35"/>
    <mergeCell ref="J30:J32"/>
    <mergeCell ref="K30:K32"/>
    <mergeCell ref="R27:T27"/>
    <mergeCell ref="G28:H28"/>
    <mergeCell ref="I28:K28"/>
    <mergeCell ref="L28:N28"/>
    <mergeCell ref="O28:Q28"/>
    <mergeCell ref="R28:T28"/>
    <mergeCell ref="E26:F28"/>
    <mergeCell ref="G26:H26"/>
    <mergeCell ref="I26:K26"/>
    <mergeCell ref="L26:N26"/>
    <mergeCell ref="O26:Q26"/>
    <mergeCell ref="R26:T26"/>
    <mergeCell ref="G27:H27"/>
    <mergeCell ref="I27:K27"/>
    <mergeCell ref="L27:N27"/>
    <mergeCell ref="O27:Q27"/>
    <mergeCell ref="G24:H24"/>
    <mergeCell ref="E25:H25"/>
    <mergeCell ref="I25:K25"/>
    <mergeCell ref="L25:N25"/>
    <mergeCell ref="O25:Q25"/>
    <mergeCell ref="R25:T25"/>
    <mergeCell ref="E21:H21"/>
    <mergeCell ref="I21:K21"/>
    <mergeCell ref="L21:N21"/>
    <mergeCell ref="O21:Q21"/>
    <mergeCell ref="R21:T21"/>
    <mergeCell ref="E22:F24"/>
    <mergeCell ref="G22:H22"/>
    <mergeCell ref="G23:H23"/>
    <mergeCell ref="R17:T17"/>
    <mergeCell ref="E18:F20"/>
    <mergeCell ref="G18:H18"/>
    <mergeCell ref="I18:K18"/>
    <mergeCell ref="L18:N18"/>
    <mergeCell ref="O18:Q18"/>
    <mergeCell ref="R18:T18"/>
    <mergeCell ref="G19:H19"/>
    <mergeCell ref="I19:K19"/>
    <mergeCell ref="L19:N19"/>
    <mergeCell ref="O19:Q19"/>
    <mergeCell ref="R19:T19"/>
    <mergeCell ref="G20:H20"/>
    <mergeCell ref="I20:K20"/>
    <mergeCell ref="L20:N20"/>
    <mergeCell ref="O20:Q20"/>
    <mergeCell ref="R20:T20"/>
    <mergeCell ref="G16:H16"/>
    <mergeCell ref="E17:H17"/>
    <mergeCell ref="L12:L13"/>
    <mergeCell ref="M12:M13"/>
    <mergeCell ref="N12:N13"/>
    <mergeCell ref="O12:O13"/>
    <mergeCell ref="P12:P13"/>
    <mergeCell ref="Q12:Q13"/>
    <mergeCell ref="A12:C13"/>
    <mergeCell ref="D12:D13"/>
    <mergeCell ref="E12:H13"/>
    <mergeCell ref="I12:I13"/>
    <mergeCell ref="J12:J13"/>
    <mergeCell ref="K12:K13"/>
    <mergeCell ref="I17:K17"/>
    <mergeCell ref="L17:N17"/>
    <mergeCell ref="O17:Q17"/>
    <mergeCell ref="Q7:T7"/>
    <mergeCell ref="Q8:T8"/>
    <mergeCell ref="A9:T10"/>
    <mergeCell ref="A11:H11"/>
    <mergeCell ref="I11:K11"/>
    <mergeCell ref="L11:N11"/>
    <mergeCell ref="O11:Q11"/>
    <mergeCell ref="R11:T11"/>
    <mergeCell ref="U49:W49"/>
    <mergeCell ref="U21:W21"/>
    <mergeCell ref="U27:W27"/>
    <mergeCell ref="U30:U32"/>
    <mergeCell ref="V30:V32"/>
    <mergeCell ref="W30:W32"/>
    <mergeCell ref="U33:W35"/>
    <mergeCell ref="U39:W41"/>
    <mergeCell ref="R12:R13"/>
    <mergeCell ref="S12:S13"/>
    <mergeCell ref="T12:T13"/>
    <mergeCell ref="A14:C21"/>
    <mergeCell ref="D14:D21"/>
    <mergeCell ref="E14:F16"/>
    <mergeCell ref="G14:H14"/>
    <mergeCell ref="G15:H15"/>
    <mergeCell ref="X49:Z49"/>
    <mergeCell ref="AA49:AC49"/>
    <mergeCell ref="AD49:AF49"/>
    <mergeCell ref="AG49:AI49"/>
    <mergeCell ref="AJ49:AL49"/>
    <mergeCell ref="AM49:AO49"/>
    <mergeCell ref="AP49:AR49"/>
    <mergeCell ref="AS49:AU49"/>
    <mergeCell ref="AV49:AX49"/>
    <mergeCell ref="AY49:BA49"/>
    <mergeCell ref="BB49:BD49"/>
    <mergeCell ref="BE49:BG49"/>
    <mergeCell ref="BH49:BJ49"/>
    <mergeCell ref="BK49:BM49"/>
    <mergeCell ref="BN49:BP49"/>
    <mergeCell ref="BQ49:BS49"/>
    <mergeCell ref="BT49:BV49"/>
    <mergeCell ref="BW49:BY49"/>
    <mergeCell ref="BZ49:CB49"/>
    <mergeCell ref="U50:U51"/>
    <mergeCell ref="V50:V51"/>
    <mergeCell ref="W50:W51"/>
    <mergeCell ref="X50:X51"/>
    <mergeCell ref="Y50:Y51"/>
    <mergeCell ref="Z50:Z51"/>
    <mergeCell ref="AA50:AA51"/>
    <mergeCell ref="AB50:AB51"/>
    <mergeCell ref="AC50:AC51"/>
    <mergeCell ref="AD50:AD51"/>
    <mergeCell ref="AE50:AE51"/>
    <mergeCell ref="AF50:AF51"/>
    <mergeCell ref="AG50:AG51"/>
    <mergeCell ref="AH50:AH51"/>
    <mergeCell ref="AI50:AI51"/>
    <mergeCell ref="AJ50:AJ51"/>
    <mergeCell ref="AK50:AK51"/>
    <mergeCell ref="AL50:AL51"/>
    <mergeCell ref="AM50:AM51"/>
    <mergeCell ref="AN50:AN51"/>
    <mergeCell ref="AO50:AO51"/>
    <mergeCell ref="AP50:AP51"/>
    <mergeCell ref="AQ50:AQ51"/>
    <mergeCell ref="AR50:AR51"/>
    <mergeCell ref="AS50:AS51"/>
    <mergeCell ref="AT50:AT51"/>
    <mergeCell ref="AU50:AU51"/>
    <mergeCell ref="AV50:AV51"/>
    <mergeCell ref="AW50:AW51"/>
    <mergeCell ref="AX50:AX51"/>
    <mergeCell ref="AY50:AY51"/>
    <mergeCell ref="AZ50:AZ51"/>
    <mergeCell ref="BA50:BA51"/>
    <mergeCell ref="BB50:BB51"/>
    <mergeCell ref="BC50:BC51"/>
    <mergeCell ref="BD50:BD51"/>
    <mergeCell ref="BE50:BE51"/>
    <mergeCell ref="BF50:BF51"/>
    <mergeCell ref="BG50:BG51"/>
    <mergeCell ref="BH50:BH51"/>
    <mergeCell ref="BI50:BI51"/>
    <mergeCell ref="BJ50:BJ51"/>
    <mergeCell ref="BK50:BK51"/>
    <mergeCell ref="BL50:BL51"/>
    <mergeCell ref="BM50:BM51"/>
    <mergeCell ref="BN50:BN51"/>
    <mergeCell ref="BO50:BO51"/>
    <mergeCell ref="BP50:BP51"/>
    <mergeCell ref="BQ50:BQ51"/>
    <mergeCell ref="BR50:BR51"/>
    <mergeCell ref="BS50:BS51"/>
    <mergeCell ref="BT50:BT51"/>
    <mergeCell ref="BU50:BU51"/>
    <mergeCell ref="BV50:BV51"/>
    <mergeCell ref="BW50:BW51"/>
    <mergeCell ref="BX50:BX51"/>
    <mergeCell ref="BY50:BY51"/>
    <mergeCell ref="BZ50:BZ51"/>
    <mergeCell ref="CA50:CA51"/>
    <mergeCell ref="CB50:CB51"/>
    <mergeCell ref="U11:W11"/>
    <mergeCell ref="X11:Z11"/>
    <mergeCell ref="AA11:AC11"/>
    <mergeCell ref="AD11:AF11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F12:AF13"/>
    <mergeCell ref="U17:W17"/>
    <mergeCell ref="X17:Z17"/>
    <mergeCell ref="AA17:AC17"/>
    <mergeCell ref="AD17:AF17"/>
    <mergeCell ref="U18:W18"/>
    <mergeCell ref="X18:Z18"/>
    <mergeCell ref="AA18:AC18"/>
    <mergeCell ref="AD18:AF18"/>
    <mergeCell ref="U19:W19"/>
    <mergeCell ref="X19:Z19"/>
    <mergeCell ref="AA19:AC19"/>
    <mergeCell ref="AD19:AF19"/>
    <mergeCell ref="U20:W20"/>
    <mergeCell ref="X20:Z20"/>
    <mergeCell ref="AA20:AC20"/>
    <mergeCell ref="AD20:AF20"/>
    <mergeCell ref="X21:Z21"/>
    <mergeCell ref="AA21:AC21"/>
    <mergeCell ref="AD21:AF21"/>
    <mergeCell ref="U25:W25"/>
    <mergeCell ref="X25:Z25"/>
    <mergeCell ref="AA25:AC25"/>
    <mergeCell ref="AD25:AF25"/>
    <mergeCell ref="U26:W26"/>
    <mergeCell ref="X26:Z26"/>
    <mergeCell ref="AA26:AC26"/>
    <mergeCell ref="AD26:AF26"/>
    <mergeCell ref="X27:Z27"/>
    <mergeCell ref="AA27:AC27"/>
    <mergeCell ref="AD27:AF27"/>
    <mergeCell ref="U28:W28"/>
    <mergeCell ref="X28:Z28"/>
    <mergeCell ref="AA28:AC28"/>
    <mergeCell ref="AD28:AF28"/>
    <mergeCell ref="U29:W29"/>
    <mergeCell ref="X29:Z29"/>
    <mergeCell ref="AA29:AC29"/>
    <mergeCell ref="AD29:AF29"/>
    <mergeCell ref="X30:X32"/>
    <mergeCell ref="Y30:Y32"/>
    <mergeCell ref="Z30:Z32"/>
    <mergeCell ref="AA30:AA32"/>
    <mergeCell ref="AB30:AB32"/>
    <mergeCell ref="AC30:AC32"/>
    <mergeCell ref="AD30:AD32"/>
    <mergeCell ref="AE30:AE32"/>
    <mergeCell ref="AF30:AF32"/>
    <mergeCell ref="X33:Z35"/>
    <mergeCell ref="AA33:AC35"/>
    <mergeCell ref="AD33:AF35"/>
    <mergeCell ref="U36:U38"/>
    <mergeCell ref="V36:V38"/>
    <mergeCell ref="W36:W38"/>
    <mergeCell ref="X36:X38"/>
    <mergeCell ref="Y36:Y38"/>
    <mergeCell ref="Z36:Z38"/>
    <mergeCell ref="AA36:AA38"/>
    <mergeCell ref="AB36:AB38"/>
    <mergeCell ref="AC36:AC38"/>
    <mergeCell ref="AD36:AD38"/>
    <mergeCell ref="AE36:AE38"/>
    <mergeCell ref="AF36:AF38"/>
    <mergeCell ref="X39:Z41"/>
    <mergeCell ref="AA39:AC41"/>
    <mergeCell ref="AD39:AF41"/>
    <mergeCell ref="AG11:AI11"/>
    <mergeCell ref="AJ11:AL11"/>
    <mergeCell ref="AM11:AO11"/>
    <mergeCell ref="AP11:AR11"/>
    <mergeCell ref="AG12:AG13"/>
    <mergeCell ref="AH12:AH13"/>
    <mergeCell ref="AI12:AI13"/>
    <mergeCell ref="AJ12:AJ13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AG17:AI17"/>
    <mergeCell ref="AJ17:AL17"/>
    <mergeCell ref="AM17:AO17"/>
    <mergeCell ref="AP17:AR17"/>
    <mergeCell ref="AG18:AI18"/>
    <mergeCell ref="AJ18:AL18"/>
    <mergeCell ref="AM18:AO18"/>
    <mergeCell ref="AP18:AR18"/>
    <mergeCell ref="AG19:AI19"/>
    <mergeCell ref="AJ19:AL19"/>
    <mergeCell ref="AM19:AO19"/>
    <mergeCell ref="AP19:AR19"/>
    <mergeCell ref="AG20:AI20"/>
    <mergeCell ref="AJ20:AL20"/>
    <mergeCell ref="AM20:AO20"/>
    <mergeCell ref="AP20:AR20"/>
    <mergeCell ref="AG21:AI21"/>
    <mergeCell ref="AJ21:AL21"/>
    <mergeCell ref="AM21:AO21"/>
    <mergeCell ref="AP21:AR21"/>
    <mergeCell ref="AG25:AI25"/>
    <mergeCell ref="AJ25:AL25"/>
    <mergeCell ref="AM25:AO25"/>
    <mergeCell ref="AP25:AR25"/>
    <mergeCell ref="AG26:AI26"/>
    <mergeCell ref="AJ26:AL26"/>
    <mergeCell ref="AM26:AO26"/>
    <mergeCell ref="AP26:AR26"/>
    <mergeCell ref="AL30:AL32"/>
    <mergeCell ref="AM30:AM32"/>
    <mergeCell ref="AN30:AN32"/>
    <mergeCell ref="AO30:AO32"/>
    <mergeCell ref="AG27:AI27"/>
    <mergeCell ref="AJ27:AL27"/>
    <mergeCell ref="AM27:AO27"/>
    <mergeCell ref="AP27:AR27"/>
    <mergeCell ref="AG28:AI28"/>
    <mergeCell ref="AJ28:AL28"/>
    <mergeCell ref="AM28:AO28"/>
    <mergeCell ref="AP28:AR28"/>
    <mergeCell ref="AG29:AI29"/>
    <mergeCell ref="AJ29:AL29"/>
    <mergeCell ref="AM29:AO29"/>
    <mergeCell ref="AP29:AR29"/>
    <mergeCell ref="AP30:AP32"/>
    <mergeCell ref="AQ30:AQ32"/>
    <mergeCell ref="AR30:AR32"/>
    <mergeCell ref="AG30:AG32"/>
    <mergeCell ref="AH30:AH32"/>
    <mergeCell ref="AI30:AI32"/>
    <mergeCell ref="AJ30:AJ32"/>
    <mergeCell ref="AK30:AK32"/>
    <mergeCell ref="AG33:AI35"/>
    <mergeCell ref="AJ33:AL35"/>
    <mergeCell ref="AM33:AO35"/>
    <mergeCell ref="AP33:AR35"/>
    <mergeCell ref="AG36:AG38"/>
    <mergeCell ref="AH36:AH38"/>
    <mergeCell ref="AI36:AI38"/>
    <mergeCell ref="AJ36:AJ38"/>
    <mergeCell ref="AK36:AK38"/>
    <mergeCell ref="AL36:AL38"/>
    <mergeCell ref="AM36:AM38"/>
    <mergeCell ref="AN36:AN38"/>
    <mergeCell ref="AO36:AO38"/>
    <mergeCell ref="AP36:AP38"/>
    <mergeCell ref="AQ36:AQ38"/>
    <mergeCell ref="AR36:AR38"/>
    <mergeCell ref="AG39:AI41"/>
    <mergeCell ref="AJ39:AL41"/>
    <mergeCell ref="AM39:AO41"/>
    <mergeCell ref="AP39:AR41"/>
    <mergeCell ref="AS11:AU11"/>
    <mergeCell ref="AV11:AX11"/>
    <mergeCell ref="AY11:BA11"/>
    <mergeCell ref="BB11:BD11"/>
    <mergeCell ref="AS12:AS13"/>
    <mergeCell ref="AT12:AT13"/>
    <mergeCell ref="AU12:AU13"/>
    <mergeCell ref="AV12:AV13"/>
    <mergeCell ref="AW12:AW13"/>
    <mergeCell ref="AX12:AX13"/>
    <mergeCell ref="AY12:AY13"/>
    <mergeCell ref="AZ12:AZ13"/>
    <mergeCell ref="BA12:BA13"/>
    <mergeCell ref="BB12:BB13"/>
    <mergeCell ref="BC12:BC13"/>
    <mergeCell ref="BD12:BD13"/>
    <mergeCell ref="AS17:AU17"/>
    <mergeCell ref="AV17:AX17"/>
    <mergeCell ref="AY17:BA17"/>
    <mergeCell ref="BB17:BD17"/>
    <mergeCell ref="AS18:AU18"/>
    <mergeCell ref="AV18:AX18"/>
    <mergeCell ref="AY18:BA18"/>
    <mergeCell ref="BB18:BD18"/>
    <mergeCell ref="AS19:AU19"/>
    <mergeCell ref="AV19:AX19"/>
    <mergeCell ref="AY19:BA19"/>
    <mergeCell ref="BB19:BD19"/>
    <mergeCell ref="AS20:AU20"/>
    <mergeCell ref="AV20:AX20"/>
    <mergeCell ref="AY20:BA20"/>
    <mergeCell ref="BB20:BD20"/>
    <mergeCell ref="AS21:AU21"/>
    <mergeCell ref="AV21:AX21"/>
    <mergeCell ref="AY21:BA21"/>
    <mergeCell ref="BB21:BD21"/>
    <mergeCell ref="AS25:AU25"/>
    <mergeCell ref="AV25:AX25"/>
    <mergeCell ref="AY25:BA25"/>
    <mergeCell ref="BB25:BD25"/>
    <mergeCell ref="AS26:AU26"/>
    <mergeCell ref="AV26:AX26"/>
    <mergeCell ref="AY26:BA26"/>
    <mergeCell ref="BB26:BD26"/>
    <mergeCell ref="AX30:AX32"/>
    <mergeCell ref="AY30:AY32"/>
    <mergeCell ref="AZ30:AZ32"/>
    <mergeCell ref="BA30:BA32"/>
    <mergeCell ref="AS27:AU27"/>
    <mergeCell ref="AV27:AX27"/>
    <mergeCell ref="AY27:BA27"/>
    <mergeCell ref="BB27:BD27"/>
    <mergeCell ref="AS28:AU28"/>
    <mergeCell ref="AV28:AX28"/>
    <mergeCell ref="AY28:BA28"/>
    <mergeCell ref="BB28:BD28"/>
    <mergeCell ref="AS29:AU29"/>
    <mergeCell ref="AV29:AX29"/>
    <mergeCell ref="AY29:BA29"/>
    <mergeCell ref="BB29:BD29"/>
    <mergeCell ref="BB30:BB32"/>
    <mergeCell ref="BC30:BC32"/>
    <mergeCell ref="BD30:BD32"/>
    <mergeCell ref="AS30:AS32"/>
    <mergeCell ref="AT30:AT32"/>
    <mergeCell ref="AU30:AU32"/>
    <mergeCell ref="AV30:AV32"/>
    <mergeCell ref="AW30:AW32"/>
    <mergeCell ref="AS33:AU35"/>
    <mergeCell ref="AV33:AX35"/>
    <mergeCell ref="AY33:BA35"/>
    <mergeCell ref="BB33:BD35"/>
    <mergeCell ref="AS36:AS38"/>
    <mergeCell ref="AT36:AT38"/>
    <mergeCell ref="AU36:AU38"/>
    <mergeCell ref="AV36:AV38"/>
    <mergeCell ref="AW36:AW38"/>
    <mergeCell ref="AX36:AX38"/>
    <mergeCell ref="AY36:AY38"/>
    <mergeCell ref="AZ36:AZ38"/>
    <mergeCell ref="BA36:BA38"/>
    <mergeCell ref="BB36:BB38"/>
    <mergeCell ref="BC36:BC38"/>
    <mergeCell ref="BD36:BD38"/>
    <mergeCell ref="AS39:AU41"/>
    <mergeCell ref="AV39:AX41"/>
    <mergeCell ref="AY39:BA41"/>
    <mergeCell ref="BB39:BD41"/>
    <mergeCell ref="BE11:BG11"/>
    <mergeCell ref="BH11:BJ11"/>
    <mergeCell ref="BK11:BM11"/>
    <mergeCell ref="BN11:BP11"/>
    <mergeCell ref="BE12:BE13"/>
    <mergeCell ref="BF12:BF13"/>
    <mergeCell ref="BG12:BG13"/>
    <mergeCell ref="BH12:BH13"/>
    <mergeCell ref="BI12:BI13"/>
    <mergeCell ref="BJ12:BJ13"/>
    <mergeCell ref="BK12:BK13"/>
    <mergeCell ref="BL12:BL13"/>
    <mergeCell ref="BM12:BM13"/>
    <mergeCell ref="BN12:BN13"/>
    <mergeCell ref="BO12:BO13"/>
    <mergeCell ref="BP12:BP13"/>
    <mergeCell ref="BE17:BG17"/>
    <mergeCell ref="BH17:BJ17"/>
    <mergeCell ref="BK17:BM17"/>
    <mergeCell ref="BN17:BP17"/>
    <mergeCell ref="BE18:BG18"/>
    <mergeCell ref="BH18:BJ18"/>
    <mergeCell ref="BK18:BM18"/>
    <mergeCell ref="BN18:BP18"/>
    <mergeCell ref="BE19:BG19"/>
    <mergeCell ref="BH19:BJ19"/>
    <mergeCell ref="BK19:BM19"/>
    <mergeCell ref="BN19:BP19"/>
    <mergeCell ref="BE20:BG20"/>
    <mergeCell ref="BH20:BJ20"/>
    <mergeCell ref="BK20:BM20"/>
    <mergeCell ref="BN20:BP20"/>
    <mergeCell ref="BE21:BG21"/>
    <mergeCell ref="BH21:BJ21"/>
    <mergeCell ref="BK21:BM21"/>
    <mergeCell ref="BN21:BP21"/>
    <mergeCell ref="BE25:BG25"/>
    <mergeCell ref="BH25:BJ25"/>
    <mergeCell ref="BK25:BM25"/>
    <mergeCell ref="BN25:BP25"/>
    <mergeCell ref="BE26:BG26"/>
    <mergeCell ref="BH26:BJ26"/>
    <mergeCell ref="BK26:BM26"/>
    <mergeCell ref="BN26:BP26"/>
    <mergeCell ref="BJ30:BJ32"/>
    <mergeCell ref="BK30:BK32"/>
    <mergeCell ref="BL30:BL32"/>
    <mergeCell ref="BM30:BM32"/>
    <mergeCell ref="BE27:BG27"/>
    <mergeCell ref="BH27:BJ27"/>
    <mergeCell ref="BK27:BM27"/>
    <mergeCell ref="BN27:BP27"/>
    <mergeCell ref="BE28:BG28"/>
    <mergeCell ref="BH28:BJ28"/>
    <mergeCell ref="BK28:BM28"/>
    <mergeCell ref="BN28:BP28"/>
    <mergeCell ref="BE29:BG29"/>
    <mergeCell ref="BH29:BJ29"/>
    <mergeCell ref="BK29:BM29"/>
    <mergeCell ref="BN29:BP29"/>
    <mergeCell ref="BN30:BN32"/>
    <mergeCell ref="BO30:BO32"/>
    <mergeCell ref="BP30:BP32"/>
    <mergeCell ref="BE30:BE32"/>
    <mergeCell ref="BF30:BF32"/>
    <mergeCell ref="BG30:BG32"/>
    <mergeCell ref="BH30:BH32"/>
    <mergeCell ref="BI30:BI32"/>
    <mergeCell ref="BE33:BG35"/>
    <mergeCell ref="BH33:BJ35"/>
    <mergeCell ref="BK33:BM35"/>
    <mergeCell ref="BN33:BP35"/>
    <mergeCell ref="BE36:BE38"/>
    <mergeCell ref="BF36:BF38"/>
    <mergeCell ref="BG36:BG38"/>
    <mergeCell ref="BH36:BH38"/>
    <mergeCell ref="BI36:BI38"/>
    <mergeCell ref="BJ36:BJ38"/>
    <mergeCell ref="BK36:BK38"/>
    <mergeCell ref="BL36:BL38"/>
    <mergeCell ref="BM36:BM38"/>
    <mergeCell ref="BN36:BN38"/>
    <mergeCell ref="BO36:BO38"/>
    <mergeCell ref="BP36:BP38"/>
    <mergeCell ref="BE39:BG41"/>
    <mergeCell ref="BH39:BJ41"/>
    <mergeCell ref="BK39:BM41"/>
    <mergeCell ref="BN39:BP41"/>
    <mergeCell ref="BQ11:BS11"/>
    <mergeCell ref="BT11:BV11"/>
    <mergeCell ref="BW11:BY11"/>
    <mergeCell ref="BZ11:CB11"/>
    <mergeCell ref="BQ12:BQ13"/>
    <mergeCell ref="BR12:BR13"/>
    <mergeCell ref="BS12:BS13"/>
    <mergeCell ref="BT12:BT13"/>
    <mergeCell ref="BU12:BU13"/>
    <mergeCell ref="BV12:BV13"/>
    <mergeCell ref="BW12:BW13"/>
    <mergeCell ref="BX12:BX13"/>
    <mergeCell ref="BY12:BY13"/>
    <mergeCell ref="BZ12:BZ13"/>
    <mergeCell ref="CA12:CA13"/>
    <mergeCell ref="CB12:CB13"/>
    <mergeCell ref="BQ17:BS17"/>
    <mergeCell ref="BT17:BV17"/>
    <mergeCell ref="BW17:BY17"/>
    <mergeCell ref="BZ17:CB17"/>
    <mergeCell ref="BQ18:BS18"/>
    <mergeCell ref="BT18:BV18"/>
    <mergeCell ref="BW18:BY18"/>
    <mergeCell ref="BZ18:CB18"/>
    <mergeCell ref="BQ19:BS19"/>
    <mergeCell ref="BT19:BV19"/>
    <mergeCell ref="BW19:BY19"/>
    <mergeCell ref="BZ19:CB19"/>
    <mergeCell ref="BQ20:BS20"/>
    <mergeCell ref="BT20:BV20"/>
    <mergeCell ref="BW20:BY20"/>
    <mergeCell ref="BZ20:CB20"/>
    <mergeCell ref="BQ21:BS21"/>
    <mergeCell ref="BT21:BV21"/>
    <mergeCell ref="BW21:BY21"/>
    <mergeCell ref="BZ21:CB21"/>
    <mergeCell ref="BQ25:BS25"/>
    <mergeCell ref="BT25:BV25"/>
    <mergeCell ref="BW25:BY25"/>
    <mergeCell ref="BZ25:CB25"/>
    <mergeCell ref="BQ26:BS26"/>
    <mergeCell ref="BT26:BV26"/>
    <mergeCell ref="BW26:BY26"/>
    <mergeCell ref="BZ26:CB26"/>
    <mergeCell ref="BZ27:CB27"/>
    <mergeCell ref="BQ28:BS28"/>
    <mergeCell ref="BT28:BV28"/>
    <mergeCell ref="BW28:BY28"/>
    <mergeCell ref="BZ28:CB28"/>
    <mergeCell ref="BQ29:BS29"/>
    <mergeCell ref="BT29:BV29"/>
    <mergeCell ref="BW29:BY29"/>
    <mergeCell ref="BZ29:CB29"/>
    <mergeCell ref="BR30:BR32"/>
    <mergeCell ref="BS30:BS32"/>
    <mergeCell ref="BT30:BT32"/>
    <mergeCell ref="BU30:BU32"/>
    <mergeCell ref="BV30:BV32"/>
    <mergeCell ref="BW30:BW32"/>
    <mergeCell ref="BX30:BX32"/>
    <mergeCell ref="BY30:BY32"/>
    <mergeCell ref="BQ27:BS27"/>
    <mergeCell ref="BT27:BV27"/>
    <mergeCell ref="BW27:BY27"/>
    <mergeCell ref="BQ39:BS41"/>
    <mergeCell ref="BT39:BV41"/>
    <mergeCell ref="BW39:BY41"/>
    <mergeCell ref="BZ39:CB41"/>
    <mergeCell ref="BZ30:BZ32"/>
    <mergeCell ref="CA30:CA32"/>
    <mergeCell ref="CB30:CB32"/>
    <mergeCell ref="BQ33:BS35"/>
    <mergeCell ref="BT33:BV35"/>
    <mergeCell ref="BW33:BY35"/>
    <mergeCell ref="BZ33:CB35"/>
    <mergeCell ref="BQ36:BQ38"/>
    <mergeCell ref="BR36:BR38"/>
    <mergeCell ref="BS36:BS38"/>
    <mergeCell ref="BT36:BT38"/>
    <mergeCell ref="BU36:BU38"/>
    <mergeCell ref="BV36:BV38"/>
    <mergeCell ref="BW36:BW38"/>
    <mergeCell ref="BX36:BX38"/>
    <mergeCell ref="BY36:BY38"/>
    <mergeCell ref="BZ36:BZ38"/>
    <mergeCell ref="CA36:CA38"/>
    <mergeCell ref="CB36:CB38"/>
    <mergeCell ref="BQ30:BQ32"/>
  </mergeCells>
  <pageMargins left="0.59055118110236227" right="0.19685039370078741" top="0.59055118110236227" bottom="0.19685039370078741" header="0.51181102362204722" footer="0.51181102362204722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0"/>
  <sheetViews>
    <sheetView view="pageBreakPreview" zoomScale="55" zoomScaleNormal="100" zoomScaleSheetLayoutView="55" workbookViewId="0">
      <selection activeCell="E48" sqref="E48:H50"/>
    </sheetView>
  </sheetViews>
  <sheetFormatPr defaultRowHeight="12.75" x14ac:dyDescent="0.2"/>
  <cols>
    <col min="1" max="2" width="3.28515625" style="2" customWidth="1"/>
    <col min="3" max="3" width="7" style="2" customWidth="1"/>
    <col min="4" max="4" width="23.140625" style="2" customWidth="1"/>
    <col min="5" max="5" width="5.85546875" style="2" customWidth="1"/>
    <col min="6" max="6" width="9.140625" style="2" customWidth="1"/>
    <col min="7" max="8" width="5.85546875" style="2" customWidth="1"/>
    <col min="9" max="20" width="8.7109375" style="2" customWidth="1"/>
    <col min="21" max="22" width="8" style="2" customWidth="1"/>
    <col min="23" max="256" width="9.140625" style="2"/>
    <col min="257" max="258" width="3.28515625" style="2" customWidth="1"/>
    <col min="259" max="259" width="5.85546875" style="2" customWidth="1"/>
    <col min="260" max="260" width="18" style="2" customWidth="1"/>
    <col min="261" max="264" width="5.85546875" style="2" customWidth="1"/>
    <col min="265" max="276" width="7.42578125" style="2" customWidth="1"/>
    <col min="277" max="278" width="8" style="2" customWidth="1"/>
    <col min="279" max="512" width="9.140625" style="2"/>
    <col min="513" max="514" width="3.28515625" style="2" customWidth="1"/>
    <col min="515" max="515" width="5.85546875" style="2" customWidth="1"/>
    <col min="516" max="516" width="18" style="2" customWidth="1"/>
    <col min="517" max="520" width="5.85546875" style="2" customWidth="1"/>
    <col min="521" max="532" width="7.42578125" style="2" customWidth="1"/>
    <col min="533" max="534" width="8" style="2" customWidth="1"/>
    <col min="535" max="768" width="9.140625" style="2"/>
    <col min="769" max="770" width="3.28515625" style="2" customWidth="1"/>
    <col min="771" max="771" width="5.85546875" style="2" customWidth="1"/>
    <col min="772" max="772" width="18" style="2" customWidth="1"/>
    <col min="773" max="776" width="5.85546875" style="2" customWidth="1"/>
    <col min="777" max="788" width="7.42578125" style="2" customWidth="1"/>
    <col min="789" max="790" width="8" style="2" customWidth="1"/>
    <col min="791" max="1024" width="9.140625" style="2"/>
    <col min="1025" max="1026" width="3.28515625" style="2" customWidth="1"/>
    <col min="1027" max="1027" width="5.85546875" style="2" customWidth="1"/>
    <col min="1028" max="1028" width="18" style="2" customWidth="1"/>
    <col min="1029" max="1032" width="5.85546875" style="2" customWidth="1"/>
    <col min="1033" max="1044" width="7.42578125" style="2" customWidth="1"/>
    <col min="1045" max="1046" width="8" style="2" customWidth="1"/>
    <col min="1047" max="1280" width="9.140625" style="2"/>
    <col min="1281" max="1282" width="3.28515625" style="2" customWidth="1"/>
    <col min="1283" max="1283" width="5.85546875" style="2" customWidth="1"/>
    <col min="1284" max="1284" width="18" style="2" customWidth="1"/>
    <col min="1285" max="1288" width="5.85546875" style="2" customWidth="1"/>
    <col min="1289" max="1300" width="7.42578125" style="2" customWidth="1"/>
    <col min="1301" max="1302" width="8" style="2" customWidth="1"/>
    <col min="1303" max="1536" width="9.140625" style="2"/>
    <col min="1537" max="1538" width="3.28515625" style="2" customWidth="1"/>
    <col min="1539" max="1539" width="5.85546875" style="2" customWidth="1"/>
    <col min="1540" max="1540" width="18" style="2" customWidth="1"/>
    <col min="1541" max="1544" width="5.85546875" style="2" customWidth="1"/>
    <col min="1545" max="1556" width="7.42578125" style="2" customWidth="1"/>
    <col min="1557" max="1558" width="8" style="2" customWidth="1"/>
    <col min="1559" max="1792" width="9.140625" style="2"/>
    <col min="1793" max="1794" width="3.28515625" style="2" customWidth="1"/>
    <col min="1795" max="1795" width="5.85546875" style="2" customWidth="1"/>
    <col min="1796" max="1796" width="18" style="2" customWidth="1"/>
    <col min="1797" max="1800" width="5.85546875" style="2" customWidth="1"/>
    <col min="1801" max="1812" width="7.42578125" style="2" customWidth="1"/>
    <col min="1813" max="1814" width="8" style="2" customWidth="1"/>
    <col min="1815" max="2048" width="9.140625" style="2"/>
    <col min="2049" max="2050" width="3.28515625" style="2" customWidth="1"/>
    <col min="2051" max="2051" width="5.85546875" style="2" customWidth="1"/>
    <col min="2052" max="2052" width="18" style="2" customWidth="1"/>
    <col min="2053" max="2056" width="5.85546875" style="2" customWidth="1"/>
    <col min="2057" max="2068" width="7.42578125" style="2" customWidth="1"/>
    <col min="2069" max="2070" width="8" style="2" customWidth="1"/>
    <col min="2071" max="2304" width="9.140625" style="2"/>
    <col min="2305" max="2306" width="3.28515625" style="2" customWidth="1"/>
    <col min="2307" max="2307" width="5.85546875" style="2" customWidth="1"/>
    <col min="2308" max="2308" width="18" style="2" customWidth="1"/>
    <col min="2309" max="2312" width="5.85546875" style="2" customWidth="1"/>
    <col min="2313" max="2324" width="7.42578125" style="2" customWidth="1"/>
    <col min="2325" max="2326" width="8" style="2" customWidth="1"/>
    <col min="2327" max="2560" width="9.140625" style="2"/>
    <col min="2561" max="2562" width="3.28515625" style="2" customWidth="1"/>
    <col min="2563" max="2563" width="5.85546875" style="2" customWidth="1"/>
    <col min="2564" max="2564" width="18" style="2" customWidth="1"/>
    <col min="2565" max="2568" width="5.85546875" style="2" customWidth="1"/>
    <col min="2569" max="2580" width="7.42578125" style="2" customWidth="1"/>
    <col min="2581" max="2582" width="8" style="2" customWidth="1"/>
    <col min="2583" max="2816" width="9.140625" style="2"/>
    <col min="2817" max="2818" width="3.28515625" style="2" customWidth="1"/>
    <col min="2819" max="2819" width="5.85546875" style="2" customWidth="1"/>
    <col min="2820" max="2820" width="18" style="2" customWidth="1"/>
    <col min="2821" max="2824" width="5.85546875" style="2" customWidth="1"/>
    <col min="2825" max="2836" width="7.42578125" style="2" customWidth="1"/>
    <col min="2837" max="2838" width="8" style="2" customWidth="1"/>
    <col min="2839" max="3072" width="9.140625" style="2"/>
    <col min="3073" max="3074" width="3.28515625" style="2" customWidth="1"/>
    <col min="3075" max="3075" width="5.85546875" style="2" customWidth="1"/>
    <col min="3076" max="3076" width="18" style="2" customWidth="1"/>
    <col min="3077" max="3080" width="5.85546875" style="2" customWidth="1"/>
    <col min="3081" max="3092" width="7.42578125" style="2" customWidth="1"/>
    <col min="3093" max="3094" width="8" style="2" customWidth="1"/>
    <col min="3095" max="3328" width="9.140625" style="2"/>
    <col min="3329" max="3330" width="3.28515625" style="2" customWidth="1"/>
    <col min="3331" max="3331" width="5.85546875" style="2" customWidth="1"/>
    <col min="3332" max="3332" width="18" style="2" customWidth="1"/>
    <col min="3333" max="3336" width="5.85546875" style="2" customWidth="1"/>
    <col min="3337" max="3348" width="7.42578125" style="2" customWidth="1"/>
    <col min="3349" max="3350" width="8" style="2" customWidth="1"/>
    <col min="3351" max="3584" width="9.140625" style="2"/>
    <col min="3585" max="3586" width="3.28515625" style="2" customWidth="1"/>
    <col min="3587" max="3587" width="5.85546875" style="2" customWidth="1"/>
    <col min="3588" max="3588" width="18" style="2" customWidth="1"/>
    <col min="3589" max="3592" width="5.85546875" style="2" customWidth="1"/>
    <col min="3593" max="3604" width="7.42578125" style="2" customWidth="1"/>
    <col min="3605" max="3606" width="8" style="2" customWidth="1"/>
    <col min="3607" max="3840" width="9.140625" style="2"/>
    <col min="3841" max="3842" width="3.28515625" style="2" customWidth="1"/>
    <col min="3843" max="3843" width="5.85546875" style="2" customWidth="1"/>
    <col min="3844" max="3844" width="18" style="2" customWidth="1"/>
    <col min="3845" max="3848" width="5.85546875" style="2" customWidth="1"/>
    <col min="3849" max="3860" width="7.42578125" style="2" customWidth="1"/>
    <col min="3861" max="3862" width="8" style="2" customWidth="1"/>
    <col min="3863" max="4096" width="9.140625" style="2"/>
    <col min="4097" max="4098" width="3.28515625" style="2" customWidth="1"/>
    <col min="4099" max="4099" width="5.85546875" style="2" customWidth="1"/>
    <col min="4100" max="4100" width="18" style="2" customWidth="1"/>
    <col min="4101" max="4104" width="5.85546875" style="2" customWidth="1"/>
    <col min="4105" max="4116" width="7.42578125" style="2" customWidth="1"/>
    <col min="4117" max="4118" width="8" style="2" customWidth="1"/>
    <col min="4119" max="4352" width="9.140625" style="2"/>
    <col min="4353" max="4354" width="3.28515625" style="2" customWidth="1"/>
    <col min="4355" max="4355" width="5.85546875" style="2" customWidth="1"/>
    <col min="4356" max="4356" width="18" style="2" customWidth="1"/>
    <col min="4357" max="4360" width="5.85546875" style="2" customWidth="1"/>
    <col min="4361" max="4372" width="7.42578125" style="2" customWidth="1"/>
    <col min="4373" max="4374" width="8" style="2" customWidth="1"/>
    <col min="4375" max="4608" width="9.140625" style="2"/>
    <col min="4609" max="4610" width="3.28515625" style="2" customWidth="1"/>
    <col min="4611" max="4611" width="5.85546875" style="2" customWidth="1"/>
    <col min="4612" max="4612" width="18" style="2" customWidth="1"/>
    <col min="4613" max="4616" width="5.85546875" style="2" customWidth="1"/>
    <col min="4617" max="4628" width="7.42578125" style="2" customWidth="1"/>
    <col min="4629" max="4630" width="8" style="2" customWidth="1"/>
    <col min="4631" max="4864" width="9.140625" style="2"/>
    <col min="4865" max="4866" width="3.28515625" style="2" customWidth="1"/>
    <col min="4867" max="4867" width="5.85546875" style="2" customWidth="1"/>
    <col min="4868" max="4868" width="18" style="2" customWidth="1"/>
    <col min="4869" max="4872" width="5.85546875" style="2" customWidth="1"/>
    <col min="4873" max="4884" width="7.42578125" style="2" customWidth="1"/>
    <col min="4885" max="4886" width="8" style="2" customWidth="1"/>
    <col min="4887" max="5120" width="9.140625" style="2"/>
    <col min="5121" max="5122" width="3.28515625" style="2" customWidth="1"/>
    <col min="5123" max="5123" width="5.85546875" style="2" customWidth="1"/>
    <col min="5124" max="5124" width="18" style="2" customWidth="1"/>
    <col min="5125" max="5128" width="5.85546875" style="2" customWidth="1"/>
    <col min="5129" max="5140" width="7.42578125" style="2" customWidth="1"/>
    <col min="5141" max="5142" width="8" style="2" customWidth="1"/>
    <col min="5143" max="5376" width="9.140625" style="2"/>
    <col min="5377" max="5378" width="3.28515625" style="2" customWidth="1"/>
    <col min="5379" max="5379" width="5.85546875" style="2" customWidth="1"/>
    <col min="5380" max="5380" width="18" style="2" customWidth="1"/>
    <col min="5381" max="5384" width="5.85546875" style="2" customWidth="1"/>
    <col min="5385" max="5396" width="7.42578125" style="2" customWidth="1"/>
    <col min="5397" max="5398" width="8" style="2" customWidth="1"/>
    <col min="5399" max="5632" width="9.140625" style="2"/>
    <col min="5633" max="5634" width="3.28515625" style="2" customWidth="1"/>
    <col min="5635" max="5635" width="5.85546875" style="2" customWidth="1"/>
    <col min="5636" max="5636" width="18" style="2" customWidth="1"/>
    <col min="5637" max="5640" width="5.85546875" style="2" customWidth="1"/>
    <col min="5641" max="5652" width="7.42578125" style="2" customWidth="1"/>
    <col min="5653" max="5654" width="8" style="2" customWidth="1"/>
    <col min="5655" max="5888" width="9.140625" style="2"/>
    <col min="5889" max="5890" width="3.28515625" style="2" customWidth="1"/>
    <col min="5891" max="5891" width="5.85546875" style="2" customWidth="1"/>
    <col min="5892" max="5892" width="18" style="2" customWidth="1"/>
    <col min="5893" max="5896" width="5.85546875" style="2" customWidth="1"/>
    <col min="5897" max="5908" width="7.42578125" style="2" customWidth="1"/>
    <col min="5909" max="5910" width="8" style="2" customWidth="1"/>
    <col min="5911" max="6144" width="9.140625" style="2"/>
    <col min="6145" max="6146" width="3.28515625" style="2" customWidth="1"/>
    <col min="6147" max="6147" width="5.85546875" style="2" customWidth="1"/>
    <col min="6148" max="6148" width="18" style="2" customWidth="1"/>
    <col min="6149" max="6152" width="5.85546875" style="2" customWidth="1"/>
    <col min="6153" max="6164" width="7.42578125" style="2" customWidth="1"/>
    <col min="6165" max="6166" width="8" style="2" customWidth="1"/>
    <col min="6167" max="6400" width="9.140625" style="2"/>
    <col min="6401" max="6402" width="3.28515625" style="2" customWidth="1"/>
    <col min="6403" max="6403" width="5.85546875" style="2" customWidth="1"/>
    <col min="6404" max="6404" width="18" style="2" customWidth="1"/>
    <col min="6405" max="6408" width="5.85546875" style="2" customWidth="1"/>
    <col min="6409" max="6420" width="7.42578125" style="2" customWidth="1"/>
    <col min="6421" max="6422" width="8" style="2" customWidth="1"/>
    <col min="6423" max="6656" width="9.140625" style="2"/>
    <col min="6657" max="6658" width="3.28515625" style="2" customWidth="1"/>
    <col min="6659" max="6659" width="5.85546875" style="2" customWidth="1"/>
    <col min="6660" max="6660" width="18" style="2" customWidth="1"/>
    <col min="6661" max="6664" width="5.85546875" style="2" customWidth="1"/>
    <col min="6665" max="6676" width="7.42578125" style="2" customWidth="1"/>
    <col min="6677" max="6678" width="8" style="2" customWidth="1"/>
    <col min="6679" max="6912" width="9.140625" style="2"/>
    <col min="6913" max="6914" width="3.28515625" style="2" customWidth="1"/>
    <col min="6915" max="6915" width="5.85546875" style="2" customWidth="1"/>
    <col min="6916" max="6916" width="18" style="2" customWidth="1"/>
    <col min="6917" max="6920" width="5.85546875" style="2" customWidth="1"/>
    <col min="6921" max="6932" width="7.42578125" style="2" customWidth="1"/>
    <col min="6933" max="6934" width="8" style="2" customWidth="1"/>
    <col min="6935" max="7168" width="9.140625" style="2"/>
    <col min="7169" max="7170" width="3.28515625" style="2" customWidth="1"/>
    <col min="7171" max="7171" width="5.85546875" style="2" customWidth="1"/>
    <col min="7172" max="7172" width="18" style="2" customWidth="1"/>
    <col min="7173" max="7176" width="5.85546875" style="2" customWidth="1"/>
    <col min="7177" max="7188" width="7.42578125" style="2" customWidth="1"/>
    <col min="7189" max="7190" width="8" style="2" customWidth="1"/>
    <col min="7191" max="7424" width="9.140625" style="2"/>
    <col min="7425" max="7426" width="3.28515625" style="2" customWidth="1"/>
    <col min="7427" max="7427" width="5.85546875" style="2" customWidth="1"/>
    <col min="7428" max="7428" width="18" style="2" customWidth="1"/>
    <col min="7429" max="7432" width="5.85546875" style="2" customWidth="1"/>
    <col min="7433" max="7444" width="7.42578125" style="2" customWidth="1"/>
    <col min="7445" max="7446" width="8" style="2" customWidth="1"/>
    <col min="7447" max="7680" width="9.140625" style="2"/>
    <col min="7681" max="7682" width="3.28515625" style="2" customWidth="1"/>
    <col min="7683" max="7683" width="5.85546875" style="2" customWidth="1"/>
    <col min="7684" max="7684" width="18" style="2" customWidth="1"/>
    <col min="7685" max="7688" width="5.85546875" style="2" customWidth="1"/>
    <col min="7689" max="7700" width="7.42578125" style="2" customWidth="1"/>
    <col min="7701" max="7702" width="8" style="2" customWidth="1"/>
    <col min="7703" max="7936" width="9.140625" style="2"/>
    <col min="7937" max="7938" width="3.28515625" style="2" customWidth="1"/>
    <col min="7939" max="7939" width="5.85546875" style="2" customWidth="1"/>
    <col min="7940" max="7940" width="18" style="2" customWidth="1"/>
    <col min="7941" max="7944" width="5.85546875" style="2" customWidth="1"/>
    <col min="7945" max="7956" width="7.42578125" style="2" customWidth="1"/>
    <col min="7957" max="7958" width="8" style="2" customWidth="1"/>
    <col min="7959" max="8192" width="9.140625" style="2"/>
    <col min="8193" max="8194" width="3.28515625" style="2" customWidth="1"/>
    <col min="8195" max="8195" width="5.85546875" style="2" customWidth="1"/>
    <col min="8196" max="8196" width="18" style="2" customWidth="1"/>
    <col min="8197" max="8200" width="5.85546875" style="2" customWidth="1"/>
    <col min="8201" max="8212" width="7.42578125" style="2" customWidth="1"/>
    <col min="8213" max="8214" width="8" style="2" customWidth="1"/>
    <col min="8215" max="8448" width="9.140625" style="2"/>
    <col min="8449" max="8450" width="3.28515625" style="2" customWidth="1"/>
    <col min="8451" max="8451" width="5.85546875" style="2" customWidth="1"/>
    <col min="8452" max="8452" width="18" style="2" customWidth="1"/>
    <col min="8453" max="8456" width="5.85546875" style="2" customWidth="1"/>
    <col min="8457" max="8468" width="7.42578125" style="2" customWidth="1"/>
    <col min="8469" max="8470" width="8" style="2" customWidth="1"/>
    <col min="8471" max="8704" width="9.140625" style="2"/>
    <col min="8705" max="8706" width="3.28515625" style="2" customWidth="1"/>
    <col min="8707" max="8707" width="5.85546875" style="2" customWidth="1"/>
    <col min="8708" max="8708" width="18" style="2" customWidth="1"/>
    <col min="8709" max="8712" width="5.85546875" style="2" customWidth="1"/>
    <col min="8713" max="8724" width="7.42578125" style="2" customWidth="1"/>
    <col min="8725" max="8726" width="8" style="2" customWidth="1"/>
    <col min="8727" max="8960" width="9.140625" style="2"/>
    <col min="8961" max="8962" width="3.28515625" style="2" customWidth="1"/>
    <col min="8963" max="8963" width="5.85546875" style="2" customWidth="1"/>
    <col min="8964" max="8964" width="18" style="2" customWidth="1"/>
    <col min="8965" max="8968" width="5.85546875" style="2" customWidth="1"/>
    <col min="8969" max="8980" width="7.42578125" style="2" customWidth="1"/>
    <col min="8981" max="8982" width="8" style="2" customWidth="1"/>
    <col min="8983" max="9216" width="9.140625" style="2"/>
    <col min="9217" max="9218" width="3.28515625" style="2" customWidth="1"/>
    <col min="9219" max="9219" width="5.85546875" style="2" customWidth="1"/>
    <col min="9220" max="9220" width="18" style="2" customWidth="1"/>
    <col min="9221" max="9224" width="5.85546875" style="2" customWidth="1"/>
    <col min="9225" max="9236" width="7.42578125" style="2" customWidth="1"/>
    <col min="9237" max="9238" width="8" style="2" customWidth="1"/>
    <col min="9239" max="9472" width="9.140625" style="2"/>
    <col min="9473" max="9474" width="3.28515625" style="2" customWidth="1"/>
    <col min="9475" max="9475" width="5.85546875" style="2" customWidth="1"/>
    <col min="9476" max="9476" width="18" style="2" customWidth="1"/>
    <col min="9477" max="9480" width="5.85546875" style="2" customWidth="1"/>
    <col min="9481" max="9492" width="7.42578125" style="2" customWidth="1"/>
    <col min="9493" max="9494" width="8" style="2" customWidth="1"/>
    <col min="9495" max="9728" width="9.140625" style="2"/>
    <col min="9729" max="9730" width="3.28515625" style="2" customWidth="1"/>
    <col min="9731" max="9731" width="5.85546875" style="2" customWidth="1"/>
    <col min="9732" max="9732" width="18" style="2" customWidth="1"/>
    <col min="9733" max="9736" width="5.85546875" style="2" customWidth="1"/>
    <col min="9737" max="9748" width="7.42578125" style="2" customWidth="1"/>
    <col min="9749" max="9750" width="8" style="2" customWidth="1"/>
    <col min="9751" max="9984" width="9.140625" style="2"/>
    <col min="9985" max="9986" width="3.28515625" style="2" customWidth="1"/>
    <col min="9987" max="9987" width="5.85546875" style="2" customWidth="1"/>
    <col min="9988" max="9988" width="18" style="2" customWidth="1"/>
    <col min="9989" max="9992" width="5.85546875" style="2" customWidth="1"/>
    <col min="9993" max="10004" width="7.42578125" style="2" customWidth="1"/>
    <col min="10005" max="10006" width="8" style="2" customWidth="1"/>
    <col min="10007" max="10240" width="9.140625" style="2"/>
    <col min="10241" max="10242" width="3.28515625" style="2" customWidth="1"/>
    <col min="10243" max="10243" width="5.85546875" style="2" customWidth="1"/>
    <col min="10244" max="10244" width="18" style="2" customWidth="1"/>
    <col min="10245" max="10248" width="5.85546875" style="2" customWidth="1"/>
    <col min="10249" max="10260" width="7.42578125" style="2" customWidth="1"/>
    <col min="10261" max="10262" width="8" style="2" customWidth="1"/>
    <col min="10263" max="10496" width="9.140625" style="2"/>
    <col min="10497" max="10498" width="3.28515625" style="2" customWidth="1"/>
    <col min="10499" max="10499" width="5.85546875" style="2" customWidth="1"/>
    <col min="10500" max="10500" width="18" style="2" customWidth="1"/>
    <col min="10501" max="10504" width="5.85546875" style="2" customWidth="1"/>
    <col min="10505" max="10516" width="7.42578125" style="2" customWidth="1"/>
    <col min="10517" max="10518" width="8" style="2" customWidth="1"/>
    <col min="10519" max="10752" width="9.140625" style="2"/>
    <col min="10753" max="10754" width="3.28515625" style="2" customWidth="1"/>
    <col min="10755" max="10755" width="5.85546875" style="2" customWidth="1"/>
    <col min="10756" max="10756" width="18" style="2" customWidth="1"/>
    <col min="10757" max="10760" width="5.85546875" style="2" customWidth="1"/>
    <col min="10761" max="10772" width="7.42578125" style="2" customWidth="1"/>
    <col min="10773" max="10774" width="8" style="2" customWidth="1"/>
    <col min="10775" max="11008" width="9.140625" style="2"/>
    <col min="11009" max="11010" width="3.28515625" style="2" customWidth="1"/>
    <col min="11011" max="11011" width="5.85546875" style="2" customWidth="1"/>
    <col min="11012" max="11012" width="18" style="2" customWidth="1"/>
    <col min="11013" max="11016" width="5.85546875" style="2" customWidth="1"/>
    <col min="11017" max="11028" width="7.42578125" style="2" customWidth="1"/>
    <col min="11029" max="11030" width="8" style="2" customWidth="1"/>
    <col min="11031" max="11264" width="9.140625" style="2"/>
    <col min="11265" max="11266" width="3.28515625" style="2" customWidth="1"/>
    <col min="11267" max="11267" width="5.85546875" style="2" customWidth="1"/>
    <col min="11268" max="11268" width="18" style="2" customWidth="1"/>
    <col min="11269" max="11272" width="5.85546875" style="2" customWidth="1"/>
    <col min="11273" max="11284" width="7.42578125" style="2" customWidth="1"/>
    <col min="11285" max="11286" width="8" style="2" customWidth="1"/>
    <col min="11287" max="11520" width="9.140625" style="2"/>
    <col min="11521" max="11522" width="3.28515625" style="2" customWidth="1"/>
    <col min="11523" max="11523" width="5.85546875" style="2" customWidth="1"/>
    <col min="11524" max="11524" width="18" style="2" customWidth="1"/>
    <col min="11525" max="11528" width="5.85546875" style="2" customWidth="1"/>
    <col min="11529" max="11540" width="7.42578125" style="2" customWidth="1"/>
    <col min="11541" max="11542" width="8" style="2" customWidth="1"/>
    <col min="11543" max="11776" width="9.140625" style="2"/>
    <col min="11777" max="11778" width="3.28515625" style="2" customWidth="1"/>
    <col min="11779" max="11779" width="5.85546875" style="2" customWidth="1"/>
    <col min="11780" max="11780" width="18" style="2" customWidth="1"/>
    <col min="11781" max="11784" width="5.85546875" style="2" customWidth="1"/>
    <col min="11785" max="11796" width="7.42578125" style="2" customWidth="1"/>
    <col min="11797" max="11798" width="8" style="2" customWidth="1"/>
    <col min="11799" max="12032" width="9.140625" style="2"/>
    <col min="12033" max="12034" width="3.28515625" style="2" customWidth="1"/>
    <col min="12035" max="12035" width="5.85546875" style="2" customWidth="1"/>
    <col min="12036" max="12036" width="18" style="2" customWidth="1"/>
    <col min="12037" max="12040" width="5.85546875" style="2" customWidth="1"/>
    <col min="12041" max="12052" width="7.42578125" style="2" customWidth="1"/>
    <col min="12053" max="12054" width="8" style="2" customWidth="1"/>
    <col min="12055" max="12288" width="9.140625" style="2"/>
    <col min="12289" max="12290" width="3.28515625" style="2" customWidth="1"/>
    <col min="12291" max="12291" width="5.85546875" style="2" customWidth="1"/>
    <col min="12292" max="12292" width="18" style="2" customWidth="1"/>
    <col min="12293" max="12296" width="5.85546875" style="2" customWidth="1"/>
    <col min="12297" max="12308" width="7.42578125" style="2" customWidth="1"/>
    <col min="12309" max="12310" width="8" style="2" customWidth="1"/>
    <col min="12311" max="12544" width="9.140625" style="2"/>
    <col min="12545" max="12546" width="3.28515625" style="2" customWidth="1"/>
    <col min="12547" max="12547" width="5.85546875" style="2" customWidth="1"/>
    <col min="12548" max="12548" width="18" style="2" customWidth="1"/>
    <col min="12549" max="12552" width="5.85546875" style="2" customWidth="1"/>
    <col min="12553" max="12564" width="7.42578125" style="2" customWidth="1"/>
    <col min="12565" max="12566" width="8" style="2" customWidth="1"/>
    <col min="12567" max="12800" width="9.140625" style="2"/>
    <col min="12801" max="12802" width="3.28515625" style="2" customWidth="1"/>
    <col min="12803" max="12803" width="5.85546875" style="2" customWidth="1"/>
    <col min="12804" max="12804" width="18" style="2" customWidth="1"/>
    <col min="12805" max="12808" width="5.85546875" style="2" customWidth="1"/>
    <col min="12809" max="12820" width="7.42578125" style="2" customWidth="1"/>
    <col min="12821" max="12822" width="8" style="2" customWidth="1"/>
    <col min="12823" max="13056" width="9.140625" style="2"/>
    <col min="13057" max="13058" width="3.28515625" style="2" customWidth="1"/>
    <col min="13059" max="13059" width="5.85546875" style="2" customWidth="1"/>
    <col min="13060" max="13060" width="18" style="2" customWidth="1"/>
    <col min="13061" max="13064" width="5.85546875" style="2" customWidth="1"/>
    <col min="13065" max="13076" width="7.42578125" style="2" customWidth="1"/>
    <col min="13077" max="13078" width="8" style="2" customWidth="1"/>
    <col min="13079" max="13312" width="9.140625" style="2"/>
    <col min="13313" max="13314" width="3.28515625" style="2" customWidth="1"/>
    <col min="13315" max="13315" width="5.85546875" style="2" customWidth="1"/>
    <col min="13316" max="13316" width="18" style="2" customWidth="1"/>
    <col min="13317" max="13320" width="5.85546875" style="2" customWidth="1"/>
    <col min="13321" max="13332" width="7.42578125" style="2" customWidth="1"/>
    <col min="13333" max="13334" width="8" style="2" customWidth="1"/>
    <col min="13335" max="13568" width="9.140625" style="2"/>
    <col min="13569" max="13570" width="3.28515625" style="2" customWidth="1"/>
    <col min="13571" max="13571" width="5.85546875" style="2" customWidth="1"/>
    <col min="13572" max="13572" width="18" style="2" customWidth="1"/>
    <col min="13573" max="13576" width="5.85546875" style="2" customWidth="1"/>
    <col min="13577" max="13588" width="7.42578125" style="2" customWidth="1"/>
    <col min="13589" max="13590" width="8" style="2" customWidth="1"/>
    <col min="13591" max="13824" width="9.140625" style="2"/>
    <col min="13825" max="13826" width="3.28515625" style="2" customWidth="1"/>
    <col min="13827" max="13827" width="5.85546875" style="2" customWidth="1"/>
    <col min="13828" max="13828" width="18" style="2" customWidth="1"/>
    <col min="13829" max="13832" width="5.85546875" style="2" customWidth="1"/>
    <col min="13833" max="13844" width="7.42578125" style="2" customWidth="1"/>
    <col min="13845" max="13846" width="8" style="2" customWidth="1"/>
    <col min="13847" max="14080" width="9.140625" style="2"/>
    <col min="14081" max="14082" width="3.28515625" style="2" customWidth="1"/>
    <col min="14083" max="14083" width="5.85546875" style="2" customWidth="1"/>
    <col min="14084" max="14084" width="18" style="2" customWidth="1"/>
    <col min="14085" max="14088" width="5.85546875" style="2" customWidth="1"/>
    <col min="14089" max="14100" width="7.42578125" style="2" customWidth="1"/>
    <col min="14101" max="14102" width="8" style="2" customWidth="1"/>
    <col min="14103" max="14336" width="9.140625" style="2"/>
    <col min="14337" max="14338" width="3.28515625" style="2" customWidth="1"/>
    <col min="14339" max="14339" width="5.85546875" style="2" customWidth="1"/>
    <col min="14340" max="14340" width="18" style="2" customWidth="1"/>
    <col min="14341" max="14344" width="5.85546875" style="2" customWidth="1"/>
    <col min="14345" max="14356" width="7.42578125" style="2" customWidth="1"/>
    <col min="14357" max="14358" width="8" style="2" customWidth="1"/>
    <col min="14359" max="14592" width="9.140625" style="2"/>
    <col min="14593" max="14594" width="3.28515625" style="2" customWidth="1"/>
    <col min="14595" max="14595" width="5.85546875" style="2" customWidth="1"/>
    <col min="14596" max="14596" width="18" style="2" customWidth="1"/>
    <col min="14597" max="14600" width="5.85546875" style="2" customWidth="1"/>
    <col min="14601" max="14612" width="7.42578125" style="2" customWidth="1"/>
    <col min="14613" max="14614" width="8" style="2" customWidth="1"/>
    <col min="14615" max="14848" width="9.140625" style="2"/>
    <col min="14849" max="14850" width="3.28515625" style="2" customWidth="1"/>
    <col min="14851" max="14851" width="5.85546875" style="2" customWidth="1"/>
    <col min="14852" max="14852" width="18" style="2" customWidth="1"/>
    <col min="14853" max="14856" width="5.85546875" style="2" customWidth="1"/>
    <col min="14857" max="14868" width="7.42578125" style="2" customWidth="1"/>
    <col min="14869" max="14870" width="8" style="2" customWidth="1"/>
    <col min="14871" max="15104" width="9.140625" style="2"/>
    <col min="15105" max="15106" width="3.28515625" style="2" customWidth="1"/>
    <col min="15107" max="15107" width="5.85546875" style="2" customWidth="1"/>
    <col min="15108" max="15108" width="18" style="2" customWidth="1"/>
    <col min="15109" max="15112" width="5.85546875" style="2" customWidth="1"/>
    <col min="15113" max="15124" width="7.42578125" style="2" customWidth="1"/>
    <col min="15125" max="15126" width="8" style="2" customWidth="1"/>
    <col min="15127" max="15360" width="9.140625" style="2"/>
    <col min="15361" max="15362" width="3.28515625" style="2" customWidth="1"/>
    <col min="15363" max="15363" width="5.85546875" style="2" customWidth="1"/>
    <col min="15364" max="15364" width="18" style="2" customWidth="1"/>
    <col min="15365" max="15368" width="5.85546875" style="2" customWidth="1"/>
    <col min="15369" max="15380" width="7.42578125" style="2" customWidth="1"/>
    <col min="15381" max="15382" width="8" style="2" customWidth="1"/>
    <col min="15383" max="15616" width="9.140625" style="2"/>
    <col min="15617" max="15618" width="3.28515625" style="2" customWidth="1"/>
    <col min="15619" max="15619" width="5.85546875" style="2" customWidth="1"/>
    <col min="15620" max="15620" width="18" style="2" customWidth="1"/>
    <col min="15621" max="15624" width="5.85546875" style="2" customWidth="1"/>
    <col min="15625" max="15636" width="7.42578125" style="2" customWidth="1"/>
    <col min="15637" max="15638" width="8" style="2" customWidth="1"/>
    <col min="15639" max="15872" width="9.140625" style="2"/>
    <col min="15873" max="15874" width="3.28515625" style="2" customWidth="1"/>
    <col min="15875" max="15875" width="5.85546875" style="2" customWidth="1"/>
    <col min="15876" max="15876" width="18" style="2" customWidth="1"/>
    <col min="15877" max="15880" width="5.85546875" style="2" customWidth="1"/>
    <col min="15881" max="15892" width="7.42578125" style="2" customWidth="1"/>
    <col min="15893" max="15894" width="8" style="2" customWidth="1"/>
    <col min="15895" max="16128" width="9.140625" style="2"/>
    <col min="16129" max="16130" width="3.28515625" style="2" customWidth="1"/>
    <col min="16131" max="16131" width="5.85546875" style="2" customWidth="1"/>
    <col min="16132" max="16132" width="18" style="2" customWidth="1"/>
    <col min="16133" max="16136" width="5.85546875" style="2" customWidth="1"/>
    <col min="16137" max="16148" width="7.42578125" style="2" customWidth="1"/>
    <col min="16149" max="16150" width="8" style="2" customWidth="1"/>
    <col min="16151" max="16384" width="9.140625" style="2"/>
  </cols>
  <sheetData>
    <row r="1" spans="1:80" ht="16.5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 t="s">
        <v>34</v>
      </c>
    </row>
    <row r="2" spans="1:80" ht="16.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 t="s">
        <v>35</v>
      </c>
    </row>
    <row r="3" spans="1:80" ht="16.5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 t="s">
        <v>36</v>
      </c>
    </row>
    <row r="4" spans="1:80" ht="37.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8"/>
    </row>
    <row r="5" spans="1:80" ht="16.5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8"/>
    </row>
    <row r="6" spans="1:80" ht="73.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8"/>
    </row>
    <row r="7" spans="1:80" ht="16.5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016" t="s">
        <v>29</v>
      </c>
      <c r="R7" s="1016"/>
      <c r="S7" s="1016"/>
      <c r="T7" s="1016"/>
    </row>
    <row r="8" spans="1:80" ht="16.5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017" t="s">
        <v>1</v>
      </c>
      <c r="R8" s="1017"/>
      <c r="S8" s="1017"/>
      <c r="T8" s="1017"/>
    </row>
    <row r="9" spans="1:80" ht="16.5" customHeight="1" x14ac:dyDescent="0.25">
      <c r="A9" s="1018" t="s">
        <v>43</v>
      </c>
      <c r="B9" s="1018"/>
      <c r="C9" s="1018"/>
      <c r="D9" s="1018"/>
      <c r="E9" s="1018"/>
      <c r="F9" s="1018"/>
      <c r="G9" s="1018"/>
      <c r="H9" s="1018"/>
      <c r="I9" s="1018"/>
      <c r="J9" s="1018"/>
      <c r="K9" s="1018"/>
      <c r="L9" s="1018"/>
      <c r="M9" s="1018"/>
      <c r="N9" s="1018"/>
      <c r="O9" s="1018"/>
      <c r="P9" s="1018"/>
      <c r="Q9" s="1018"/>
      <c r="R9" s="1018"/>
      <c r="S9" s="1018"/>
      <c r="T9" s="1018"/>
      <c r="U9" s="1"/>
    </row>
    <row r="10" spans="1:80" ht="15.75" thickBot="1" x14ac:dyDescent="0.3">
      <c r="A10" s="1019"/>
      <c r="B10" s="1019"/>
      <c r="C10" s="1019"/>
      <c r="D10" s="1019"/>
      <c r="E10" s="1019"/>
      <c r="F10" s="1019"/>
      <c r="G10" s="1019"/>
      <c r="H10" s="1019"/>
      <c r="I10" s="1019"/>
      <c r="J10" s="1019"/>
      <c r="K10" s="1019"/>
      <c r="L10" s="1019"/>
      <c r="M10" s="1019"/>
      <c r="N10" s="1019"/>
      <c r="O10" s="1019"/>
      <c r="P10" s="1019"/>
      <c r="Q10" s="1019"/>
      <c r="R10" s="1019"/>
      <c r="S10" s="1019"/>
      <c r="T10" s="1019"/>
      <c r="U10" s="1"/>
    </row>
    <row r="11" spans="1:80" ht="19.5" customHeight="1" thickBot="1" x14ac:dyDescent="0.25">
      <c r="A11" s="1020" t="s">
        <v>2</v>
      </c>
      <c r="B11" s="1021"/>
      <c r="C11" s="1021"/>
      <c r="D11" s="1021"/>
      <c r="E11" s="1021"/>
      <c r="F11" s="1021"/>
      <c r="G11" s="1021"/>
      <c r="H11" s="1022"/>
      <c r="I11" s="1001" t="s">
        <v>3</v>
      </c>
      <c r="J11" s="1002"/>
      <c r="K11" s="1003"/>
      <c r="L11" s="1001" t="s">
        <v>4</v>
      </c>
      <c r="M11" s="1002"/>
      <c r="N11" s="1003"/>
      <c r="O11" s="1001" t="s">
        <v>102</v>
      </c>
      <c r="P11" s="1002"/>
      <c r="Q11" s="1003"/>
      <c r="R11" s="1001" t="s">
        <v>103</v>
      </c>
      <c r="S11" s="1002"/>
      <c r="T11" s="1003"/>
      <c r="U11" s="1001" t="s">
        <v>104</v>
      </c>
      <c r="V11" s="1002"/>
      <c r="W11" s="1003"/>
      <c r="X11" s="1001" t="s">
        <v>105</v>
      </c>
      <c r="Y11" s="1002"/>
      <c r="Z11" s="1003"/>
      <c r="AA11" s="1001" t="s">
        <v>106</v>
      </c>
      <c r="AB11" s="1002"/>
      <c r="AC11" s="1003"/>
      <c r="AD11" s="1001" t="s">
        <v>108</v>
      </c>
      <c r="AE11" s="1002"/>
      <c r="AF11" s="1003"/>
      <c r="AG11" s="1001" t="s">
        <v>107</v>
      </c>
      <c r="AH11" s="1002"/>
      <c r="AI11" s="1003"/>
      <c r="AJ11" s="1001" t="s">
        <v>109</v>
      </c>
      <c r="AK11" s="1002"/>
      <c r="AL11" s="1003"/>
      <c r="AM11" s="1001" t="s">
        <v>110</v>
      </c>
      <c r="AN11" s="1002"/>
      <c r="AO11" s="1003"/>
      <c r="AP11" s="1001" t="s">
        <v>111</v>
      </c>
      <c r="AQ11" s="1002"/>
      <c r="AR11" s="1003"/>
      <c r="AS11" s="1001" t="s">
        <v>112</v>
      </c>
      <c r="AT11" s="1002"/>
      <c r="AU11" s="1003"/>
      <c r="AV11" s="1001" t="s">
        <v>113</v>
      </c>
      <c r="AW11" s="1002"/>
      <c r="AX11" s="1003"/>
      <c r="AY11" s="1001" t="s">
        <v>114</v>
      </c>
      <c r="AZ11" s="1002"/>
      <c r="BA11" s="1003"/>
      <c r="BB11" s="1001" t="s">
        <v>115</v>
      </c>
      <c r="BC11" s="1002"/>
      <c r="BD11" s="1003"/>
      <c r="BE11" s="1001" t="s">
        <v>116</v>
      </c>
      <c r="BF11" s="1002"/>
      <c r="BG11" s="1003"/>
      <c r="BH11" s="1001" t="s">
        <v>117</v>
      </c>
      <c r="BI11" s="1002"/>
      <c r="BJ11" s="1003"/>
      <c r="BK11" s="1001" t="s">
        <v>118</v>
      </c>
      <c r="BL11" s="1002"/>
      <c r="BM11" s="1003"/>
      <c r="BN11" s="1001" t="s">
        <v>119</v>
      </c>
      <c r="BO11" s="1002"/>
      <c r="BP11" s="1003"/>
      <c r="BQ11" s="1001" t="s">
        <v>120</v>
      </c>
      <c r="BR11" s="1002"/>
      <c r="BS11" s="1003"/>
      <c r="BT11" s="1001" t="s">
        <v>121</v>
      </c>
      <c r="BU11" s="1002"/>
      <c r="BV11" s="1003"/>
      <c r="BW11" s="1001" t="s">
        <v>122</v>
      </c>
      <c r="BX11" s="1002"/>
      <c r="BY11" s="1003"/>
      <c r="BZ11" s="1001" t="s">
        <v>5</v>
      </c>
      <c r="CA11" s="1002"/>
      <c r="CB11" s="1003"/>
    </row>
    <row r="12" spans="1:80" ht="12.75" customHeight="1" x14ac:dyDescent="0.2">
      <c r="A12" s="1040" t="s">
        <v>6</v>
      </c>
      <c r="B12" s="1041"/>
      <c r="C12" s="1042"/>
      <c r="D12" s="1046" t="s">
        <v>7</v>
      </c>
      <c r="E12" s="1040" t="s">
        <v>8</v>
      </c>
      <c r="F12" s="1041"/>
      <c r="G12" s="1041"/>
      <c r="H12" s="1042"/>
      <c r="I12" s="1004" t="s">
        <v>9</v>
      </c>
      <c r="J12" s="1006" t="s">
        <v>10</v>
      </c>
      <c r="K12" s="1006" t="s">
        <v>11</v>
      </c>
      <c r="L12" s="1004" t="s">
        <v>9</v>
      </c>
      <c r="M12" s="1006" t="s">
        <v>10</v>
      </c>
      <c r="N12" s="1006" t="s">
        <v>11</v>
      </c>
      <c r="O12" s="1004" t="s">
        <v>9</v>
      </c>
      <c r="P12" s="1006" t="s">
        <v>10</v>
      </c>
      <c r="Q12" s="1008" t="s">
        <v>11</v>
      </c>
      <c r="R12" s="1004" t="s">
        <v>9</v>
      </c>
      <c r="S12" s="1006" t="s">
        <v>10</v>
      </c>
      <c r="T12" s="1008" t="s">
        <v>11</v>
      </c>
      <c r="U12" s="1004" t="s">
        <v>9</v>
      </c>
      <c r="V12" s="1006" t="s">
        <v>10</v>
      </c>
      <c r="W12" s="1006" t="s">
        <v>11</v>
      </c>
      <c r="X12" s="1004" t="s">
        <v>9</v>
      </c>
      <c r="Y12" s="1006" t="s">
        <v>10</v>
      </c>
      <c r="Z12" s="1006" t="s">
        <v>11</v>
      </c>
      <c r="AA12" s="1004" t="s">
        <v>9</v>
      </c>
      <c r="AB12" s="1006" t="s">
        <v>10</v>
      </c>
      <c r="AC12" s="1008" t="s">
        <v>11</v>
      </c>
      <c r="AD12" s="1004" t="s">
        <v>9</v>
      </c>
      <c r="AE12" s="1006" t="s">
        <v>10</v>
      </c>
      <c r="AF12" s="1008" t="s">
        <v>11</v>
      </c>
      <c r="AG12" s="1004" t="s">
        <v>9</v>
      </c>
      <c r="AH12" s="1006" t="s">
        <v>10</v>
      </c>
      <c r="AI12" s="1006" t="s">
        <v>11</v>
      </c>
      <c r="AJ12" s="1004" t="s">
        <v>9</v>
      </c>
      <c r="AK12" s="1006" t="s">
        <v>10</v>
      </c>
      <c r="AL12" s="1006" t="s">
        <v>11</v>
      </c>
      <c r="AM12" s="1004" t="s">
        <v>9</v>
      </c>
      <c r="AN12" s="1006" t="s">
        <v>10</v>
      </c>
      <c r="AO12" s="1008" t="s">
        <v>11</v>
      </c>
      <c r="AP12" s="1004" t="s">
        <v>9</v>
      </c>
      <c r="AQ12" s="1006" t="s">
        <v>10</v>
      </c>
      <c r="AR12" s="1008" t="s">
        <v>11</v>
      </c>
      <c r="AS12" s="1004" t="s">
        <v>9</v>
      </c>
      <c r="AT12" s="1006" t="s">
        <v>10</v>
      </c>
      <c r="AU12" s="1006" t="s">
        <v>11</v>
      </c>
      <c r="AV12" s="1004" t="s">
        <v>9</v>
      </c>
      <c r="AW12" s="1006" t="s">
        <v>10</v>
      </c>
      <c r="AX12" s="1006" t="s">
        <v>11</v>
      </c>
      <c r="AY12" s="1004" t="s">
        <v>9</v>
      </c>
      <c r="AZ12" s="1006" t="s">
        <v>10</v>
      </c>
      <c r="BA12" s="1008" t="s">
        <v>11</v>
      </c>
      <c r="BB12" s="1004" t="s">
        <v>9</v>
      </c>
      <c r="BC12" s="1006" t="s">
        <v>10</v>
      </c>
      <c r="BD12" s="1008" t="s">
        <v>11</v>
      </c>
      <c r="BE12" s="1004" t="s">
        <v>9</v>
      </c>
      <c r="BF12" s="1006" t="s">
        <v>10</v>
      </c>
      <c r="BG12" s="1006" t="s">
        <v>11</v>
      </c>
      <c r="BH12" s="1004" t="s">
        <v>9</v>
      </c>
      <c r="BI12" s="1006" t="s">
        <v>10</v>
      </c>
      <c r="BJ12" s="1006" t="s">
        <v>11</v>
      </c>
      <c r="BK12" s="1004" t="s">
        <v>9</v>
      </c>
      <c r="BL12" s="1006" t="s">
        <v>10</v>
      </c>
      <c r="BM12" s="1008" t="s">
        <v>11</v>
      </c>
      <c r="BN12" s="1004" t="s">
        <v>9</v>
      </c>
      <c r="BO12" s="1006" t="s">
        <v>10</v>
      </c>
      <c r="BP12" s="1008" t="s">
        <v>11</v>
      </c>
      <c r="BQ12" s="1004" t="s">
        <v>9</v>
      </c>
      <c r="BR12" s="1006" t="s">
        <v>10</v>
      </c>
      <c r="BS12" s="1006" t="s">
        <v>11</v>
      </c>
      <c r="BT12" s="1004" t="s">
        <v>9</v>
      </c>
      <c r="BU12" s="1006" t="s">
        <v>10</v>
      </c>
      <c r="BV12" s="1006" t="s">
        <v>11</v>
      </c>
      <c r="BW12" s="1004" t="s">
        <v>9</v>
      </c>
      <c r="BX12" s="1006" t="s">
        <v>10</v>
      </c>
      <c r="BY12" s="1008" t="s">
        <v>11</v>
      </c>
      <c r="BZ12" s="1004" t="s">
        <v>9</v>
      </c>
      <c r="CA12" s="1006" t="s">
        <v>10</v>
      </c>
      <c r="CB12" s="1008" t="s">
        <v>11</v>
      </c>
    </row>
    <row r="13" spans="1:80" ht="23.25" customHeight="1" thickBot="1" x14ac:dyDescent="0.25">
      <c r="A13" s="1043"/>
      <c r="B13" s="1044"/>
      <c r="C13" s="1045"/>
      <c r="D13" s="1047"/>
      <c r="E13" s="1043"/>
      <c r="F13" s="1044"/>
      <c r="G13" s="1044"/>
      <c r="H13" s="1045"/>
      <c r="I13" s="1005"/>
      <c r="J13" s="1007"/>
      <c r="K13" s="1007"/>
      <c r="L13" s="1005"/>
      <c r="M13" s="1007"/>
      <c r="N13" s="1007"/>
      <c r="O13" s="1005"/>
      <c r="P13" s="1007"/>
      <c r="Q13" s="1009"/>
      <c r="R13" s="1005"/>
      <c r="S13" s="1007"/>
      <c r="T13" s="1009"/>
      <c r="U13" s="1005"/>
      <c r="V13" s="1007"/>
      <c r="W13" s="1007"/>
      <c r="X13" s="1005"/>
      <c r="Y13" s="1007"/>
      <c r="Z13" s="1007"/>
      <c r="AA13" s="1005"/>
      <c r="AB13" s="1007"/>
      <c r="AC13" s="1009"/>
      <c r="AD13" s="1005"/>
      <c r="AE13" s="1007"/>
      <c r="AF13" s="1009"/>
      <c r="AG13" s="1005"/>
      <c r="AH13" s="1007"/>
      <c r="AI13" s="1007"/>
      <c r="AJ13" s="1005"/>
      <c r="AK13" s="1007"/>
      <c r="AL13" s="1007"/>
      <c r="AM13" s="1005"/>
      <c r="AN13" s="1007"/>
      <c r="AO13" s="1009"/>
      <c r="AP13" s="1005"/>
      <c r="AQ13" s="1007"/>
      <c r="AR13" s="1009"/>
      <c r="AS13" s="1005"/>
      <c r="AT13" s="1007"/>
      <c r="AU13" s="1007"/>
      <c r="AV13" s="1005"/>
      <c r="AW13" s="1007"/>
      <c r="AX13" s="1007"/>
      <c r="AY13" s="1005"/>
      <c r="AZ13" s="1007"/>
      <c r="BA13" s="1009"/>
      <c r="BB13" s="1005"/>
      <c r="BC13" s="1007"/>
      <c r="BD13" s="1009"/>
      <c r="BE13" s="1005"/>
      <c r="BF13" s="1007"/>
      <c r="BG13" s="1007"/>
      <c r="BH13" s="1005"/>
      <c r="BI13" s="1007"/>
      <c r="BJ13" s="1007"/>
      <c r="BK13" s="1005"/>
      <c r="BL13" s="1007"/>
      <c r="BM13" s="1009"/>
      <c r="BN13" s="1005"/>
      <c r="BO13" s="1007"/>
      <c r="BP13" s="1009"/>
      <c r="BQ13" s="1005"/>
      <c r="BR13" s="1007"/>
      <c r="BS13" s="1007"/>
      <c r="BT13" s="1005"/>
      <c r="BU13" s="1007"/>
      <c r="BV13" s="1007"/>
      <c r="BW13" s="1005"/>
      <c r="BX13" s="1007"/>
      <c r="BY13" s="1009"/>
      <c r="BZ13" s="1005"/>
      <c r="CA13" s="1007"/>
      <c r="CB13" s="1009"/>
    </row>
    <row r="14" spans="1:80" ht="18" customHeight="1" thickBot="1" x14ac:dyDescent="0.3">
      <c r="A14" s="1023" t="s">
        <v>12</v>
      </c>
      <c r="B14" s="1024"/>
      <c r="C14" s="1025"/>
      <c r="D14" s="1032">
        <v>10</v>
      </c>
      <c r="E14" s="1023" t="s">
        <v>13</v>
      </c>
      <c r="F14" s="1025"/>
      <c r="G14" s="1035" t="s">
        <v>54</v>
      </c>
      <c r="H14" s="1036"/>
      <c r="I14" s="77">
        <v>24</v>
      </c>
      <c r="J14" s="90">
        <f>I14*I17/1000*0.895</f>
        <v>0.76941360000000014</v>
      </c>
      <c r="K14" s="89">
        <f>I14*I17/1000*0.104</f>
        <v>8.9406720000000009E-2</v>
      </c>
      <c r="L14" s="91">
        <v>23</v>
      </c>
      <c r="M14" s="90">
        <f>L14*L17/1000*0.895</f>
        <v>0.73735470000000003</v>
      </c>
      <c r="N14" s="89">
        <f>L14*L17/1000*0.104</f>
        <v>8.5681439999999998E-2</v>
      </c>
      <c r="O14" s="91">
        <v>21</v>
      </c>
      <c r="P14" s="90">
        <f>O14*O17/1000*0.895</f>
        <v>0.67323690000000003</v>
      </c>
      <c r="Q14" s="89">
        <f>O14*O17/1000*0.104</f>
        <v>7.8230880000000003E-2</v>
      </c>
      <c r="R14" s="91">
        <v>21</v>
      </c>
      <c r="S14" s="90">
        <f>R14*R17/1000*0.895</f>
        <v>0.67323690000000003</v>
      </c>
      <c r="T14" s="89">
        <f>R14*R17/1000*0.104</f>
        <v>7.8230880000000003E-2</v>
      </c>
      <c r="U14" s="91">
        <v>21</v>
      </c>
      <c r="V14" s="90">
        <f>U14*U17/1000*0.895</f>
        <v>0.67323690000000003</v>
      </c>
      <c r="W14" s="89">
        <f>U14*U17/1000*0.104</f>
        <v>7.8230880000000003E-2</v>
      </c>
      <c r="X14" s="91">
        <v>33</v>
      </c>
      <c r="Y14" s="90">
        <f>X14*X17/1000*0.895</f>
        <v>1.0579436999999998</v>
      </c>
      <c r="Z14" s="89">
        <f>X14*X17/1000*0.104</f>
        <v>0.12293423999999999</v>
      </c>
      <c r="AA14" s="91">
        <v>33</v>
      </c>
      <c r="AB14" s="90">
        <f>AA14*AA17/1000*0.895</f>
        <v>1.0579436999999998</v>
      </c>
      <c r="AC14" s="89">
        <f>AA14*AA17/1000*0.104</f>
        <v>0.12293423999999999</v>
      </c>
      <c r="AD14" s="91">
        <v>33</v>
      </c>
      <c r="AE14" s="90">
        <f>AD14*AD17/1000*0.895</f>
        <v>1.0546948500000002</v>
      </c>
      <c r="AF14" s="89">
        <f>AD14*AD17/1000*0.104</f>
        <v>0.12255672000000001</v>
      </c>
      <c r="AG14" s="91">
        <v>33</v>
      </c>
      <c r="AH14" s="90">
        <f>AG14*AG17/1000*0.895</f>
        <v>1.0546948500000002</v>
      </c>
      <c r="AI14" s="89">
        <f>AG14*AG17/1000*0.104</f>
        <v>0.12255672000000001</v>
      </c>
      <c r="AJ14" s="91">
        <v>33</v>
      </c>
      <c r="AK14" s="90">
        <f>AJ14*AJ17/1000*0.895</f>
        <v>1.0546948500000002</v>
      </c>
      <c r="AL14" s="89">
        <f>AJ14*AJ17/1000*0.104</f>
        <v>0.12255672000000001</v>
      </c>
      <c r="AM14" s="91">
        <v>33</v>
      </c>
      <c r="AN14" s="90">
        <f>AM14*AM17/1000*0.895</f>
        <v>1.0546948500000002</v>
      </c>
      <c r="AO14" s="89">
        <f>AM14*AM17/1000*0.104</f>
        <v>0.12255672000000001</v>
      </c>
      <c r="AP14" s="91">
        <v>33</v>
      </c>
      <c r="AQ14" s="90">
        <f>AP14*AP17/1000*0.895</f>
        <v>1.0546948500000002</v>
      </c>
      <c r="AR14" s="89">
        <f>AP14*AP17/1000*0.104</f>
        <v>0.12255672000000001</v>
      </c>
      <c r="AS14" s="91">
        <v>33</v>
      </c>
      <c r="AT14" s="90">
        <f>AS14*AS17/1000*0.895</f>
        <v>1.0546948500000002</v>
      </c>
      <c r="AU14" s="89">
        <f>AS14*AS17/1000*0.104</f>
        <v>0.12255672000000001</v>
      </c>
      <c r="AV14" s="91">
        <v>33</v>
      </c>
      <c r="AW14" s="90">
        <f>AV14*AV17/1000*0.895</f>
        <v>1.0546948500000002</v>
      </c>
      <c r="AX14" s="89">
        <f>AV14*AV17/1000*0.104</f>
        <v>0.12255672000000001</v>
      </c>
      <c r="AY14" s="91">
        <v>33</v>
      </c>
      <c r="AZ14" s="90">
        <f>AY14*AY17/1000*0.895</f>
        <v>1.0546948500000002</v>
      </c>
      <c r="BA14" s="89">
        <f>AY14*AY17/1000*0.104</f>
        <v>0.12255672000000001</v>
      </c>
      <c r="BB14" s="91">
        <v>33</v>
      </c>
      <c r="BC14" s="90">
        <f>BB14*BB17/1000*0.895</f>
        <v>1.0546948500000002</v>
      </c>
      <c r="BD14" s="89">
        <f>BB14*BB17/1000*0.104</f>
        <v>0.12255672000000001</v>
      </c>
      <c r="BE14" s="91">
        <v>33</v>
      </c>
      <c r="BF14" s="90">
        <f>BE14*BE17/1000*0.895</f>
        <v>1.0546948500000002</v>
      </c>
      <c r="BG14" s="89">
        <f>BE14*BE17/1000*0.104</f>
        <v>0.12255672000000001</v>
      </c>
      <c r="BH14" s="91">
        <v>33</v>
      </c>
      <c r="BI14" s="90">
        <f>BH14*BH17/1000*0.895</f>
        <v>1.0546948500000002</v>
      </c>
      <c r="BJ14" s="89">
        <f>BH14*BH17/1000*0.104</f>
        <v>0.12255672000000001</v>
      </c>
      <c r="BK14" s="91">
        <v>33</v>
      </c>
      <c r="BL14" s="90">
        <f>BK14*BK17/1000*0.895</f>
        <v>1.0546948500000002</v>
      </c>
      <c r="BM14" s="89">
        <f>BK14*BK17/1000*0.104</f>
        <v>0.12255672000000001</v>
      </c>
      <c r="BN14" s="91">
        <v>33</v>
      </c>
      <c r="BO14" s="90">
        <f>BN14*BN17/1000*0.895</f>
        <v>1.0546948500000002</v>
      </c>
      <c r="BP14" s="89">
        <f>BN14*BN17/1000*0.104</f>
        <v>0.12255672000000001</v>
      </c>
      <c r="BQ14" s="91">
        <v>33</v>
      </c>
      <c r="BR14" s="90">
        <f>BQ14*BQ17/1000*0.895</f>
        <v>1.0546948500000002</v>
      </c>
      <c r="BS14" s="89">
        <f>BQ14*BQ17/1000*0.104</f>
        <v>0.12255672000000001</v>
      </c>
      <c r="BT14" s="91">
        <v>30</v>
      </c>
      <c r="BU14" s="90">
        <f>BT14*BT17/1000*0.895</f>
        <v>0.95881349999999999</v>
      </c>
      <c r="BV14" s="89">
        <f>BT14*BT17/1000*0.104</f>
        <v>0.11141519999999999</v>
      </c>
      <c r="BW14" s="91">
        <v>30</v>
      </c>
      <c r="BX14" s="90">
        <f>BW14*BW17/1000*0.895</f>
        <v>0.95881349999999999</v>
      </c>
      <c r="BY14" s="89">
        <f>BW14*BW17/1000*0.104</f>
        <v>0.11141519999999999</v>
      </c>
      <c r="BZ14" s="91">
        <v>30</v>
      </c>
      <c r="CA14" s="90">
        <f>BZ14*BZ17/1000*0.895</f>
        <v>0.95961900000000011</v>
      </c>
      <c r="CB14" s="89">
        <f>BZ14*BZ17/1000*0.104</f>
        <v>0.11150880000000001</v>
      </c>
    </row>
    <row r="15" spans="1:80" ht="18" customHeight="1" thickBot="1" x14ac:dyDescent="0.3">
      <c r="A15" s="1026"/>
      <c r="B15" s="1027"/>
      <c r="C15" s="1028"/>
      <c r="D15" s="1033"/>
      <c r="E15" s="1026"/>
      <c r="F15" s="1028"/>
      <c r="G15" s="1023" t="s">
        <v>46</v>
      </c>
      <c r="H15" s="1025"/>
      <c r="I15" s="80">
        <v>75</v>
      </c>
      <c r="J15" s="14">
        <f>I15*I18/1000*0.8</f>
        <v>0.60540000000000005</v>
      </c>
      <c r="K15" s="15">
        <f>I15*I18/1000*0.2</f>
        <v>0.15135000000000001</v>
      </c>
      <c r="L15" s="86">
        <v>70</v>
      </c>
      <c r="M15" s="14">
        <f>L15*L18/1000*0.8</f>
        <v>0.56503999999999999</v>
      </c>
      <c r="N15" s="15">
        <f>L15*L18/1000*0.2</f>
        <v>0.14126</v>
      </c>
      <c r="O15" s="86">
        <v>66</v>
      </c>
      <c r="P15" s="14">
        <f>O15*O18/1000*0.8</f>
        <v>0.532752</v>
      </c>
      <c r="Q15" s="15">
        <f>O15*O18/1000*0.2</f>
        <v>0.133188</v>
      </c>
      <c r="R15" s="86">
        <v>66</v>
      </c>
      <c r="S15" s="14">
        <f>R15*R18/1000*0.8</f>
        <v>0.532752</v>
      </c>
      <c r="T15" s="15">
        <f>R15*R18/1000*0.2</f>
        <v>0.133188</v>
      </c>
      <c r="U15" s="86">
        <v>66</v>
      </c>
      <c r="V15" s="14">
        <f>U15*U18/1000*0.8</f>
        <v>0.53011200000000003</v>
      </c>
      <c r="W15" s="15">
        <f>U15*U18/1000*0.2</f>
        <v>0.13252800000000001</v>
      </c>
      <c r="X15" s="86">
        <v>108</v>
      </c>
      <c r="Y15" s="14">
        <f>X15*X18/1000*0.8</f>
        <v>0.867456</v>
      </c>
      <c r="Z15" s="15">
        <f>X15*X18/1000*0.2</f>
        <v>0.216864</v>
      </c>
      <c r="AA15" s="86">
        <v>108</v>
      </c>
      <c r="AB15" s="14">
        <f>AA15*AA18/1000*0.8</f>
        <v>0.86486399999999986</v>
      </c>
      <c r="AC15" s="15">
        <f>AA15*AA18/1000*0.2</f>
        <v>0.21621599999999996</v>
      </c>
      <c r="AD15" s="86">
        <v>108</v>
      </c>
      <c r="AE15" s="14">
        <f>AD15*AD18/1000*0.8</f>
        <v>0.86486399999999986</v>
      </c>
      <c r="AF15" s="15">
        <f>AD15*AD18/1000*0.2</f>
        <v>0.21621599999999996</v>
      </c>
      <c r="AG15" s="86">
        <v>108</v>
      </c>
      <c r="AH15" s="14">
        <f>AG15*AG18/1000*0.8</f>
        <v>0.86486399999999986</v>
      </c>
      <c r="AI15" s="15">
        <f>AG15*AG18/1000*0.2</f>
        <v>0.21621599999999996</v>
      </c>
      <c r="AJ15" s="86">
        <v>108</v>
      </c>
      <c r="AK15" s="14">
        <f>AJ15*AJ18/1000*0.8</f>
        <v>0.86486399999999986</v>
      </c>
      <c r="AL15" s="15">
        <f>AJ15*AJ18/1000*0.2</f>
        <v>0.21621599999999996</v>
      </c>
      <c r="AM15" s="86">
        <v>108</v>
      </c>
      <c r="AN15" s="14">
        <f>AM15*AM18/1000*0.8</f>
        <v>0.86486399999999986</v>
      </c>
      <c r="AO15" s="15">
        <f>AM15*AM18/1000*0.2</f>
        <v>0.21621599999999996</v>
      </c>
      <c r="AP15" s="86">
        <v>108</v>
      </c>
      <c r="AQ15" s="14">
        <f>AP15*AP18/1000*0.8</f>
        <v>0.86486399999999986</v>
      </c>
      <c r="AR15" s="15">
        <f>AP15*AP18/1000*0.2</f>
        <v>0.21621599999999996</v>
      </c>
      <c r="AS15" s="86">
        <v>108</v>
      </c>
      <c r="AT15" s="14">
        <f>AS15*AS18/1000*0.8</f>
        <v>0.86486399999999986</v>
      </c>
      <c r="AU15" s="15">
        <f>AS15*AS18/1000*0.2</f>
        <v>0.21621599999999996</v>
      </c>
      <c r="AV15" s="86">
        <v>108</v>
      </c>
      <c r="AW15" s="14">
        <f>AV15*AV18/1000*0.8</f>
        <v>0.86486399999999986</v>
      </c>
      <c r="AX15" s="15">
        <f>AV15*AV18/1000*0.2</f>
        <v>0.21621599999999996</v>
      </c>
      <c r="AY15" s="86">
        <v>108</v>
      </c>
      <c r="AZ15" s="14">
        <f>AY15*AY18/1000*0.8</f>
        <v>0.86486399999999986</v>
      </c>
      <c r="BA15" s="15">
        <f>AY15*AY18/1000*0.2</f>
        <v>0.21621599999999996</v>
      </c>
      <c r="BB15" s="86">
        <v>108</v>
      </c>
      <c r="BC15" s="14">
        <f>BB15*BB18/1000*0.8</f>
        <v>0.86486399999999986</v>
      </c>
      <c r="BD15" s="15">
        <f>BB15*BB18/1000*0.2</f>
        <v>0.21621599999999996</v>
      </c>
      <c r="BE15" s="86">
        <v>108</v>
      </c>
      <c r="BF15" s="14">
        <f>BE15*BE18/1000*0.8</f>
        <v>0.86486399999999986</v>
      </c>
      <c r="BG15" s="15">
        <f>BE15*BE18/1000*0.2</f>
        <v>0.21621599999999996</v>
      </c>
      <c r="BH15" s="86">
        <v>108</v>
      </c>
      <c r="BI15" s="14">
        <f>BH15*BH18/1000*0.8</f>
        <v>0.86486399999999986</v>
      </c>
      <c r="BJ15" s="15">
        <f>BH15*BH18/1000*0.2</f>
        <v>0.21621599999999996</v>
      </c>
      <c r="BK15" s="86">
        <v>108</v>
      </c>
      <c r="BL15" s="14">
        <f>BK15*BK18/1000*0.8</f>
        <v>0.86486399999999986</v>
      </c>
      <c r="BM15" s="15">
        <f>BK15*BK18/1000*0.2</f>
        <v>0.21621599999999996</v>
      </c>
      <c r="BN15" s="86">
        <v>108</v>
      </c>
      <c r="BO15" s="14">
        <f>BN15*BN18/1000*0.8</f>
        <v>0.86486399999999986</v>
      </c>
      <c r="BP15" s="15">
        <f>BN15*BN18/1000*0.2</f>
        <v>0.21621599999999996</v>
      </c>
      <c r="BQ15" s="86">
        <v>108</v>
      </c>
      <c r="BR15" s="14">
        <f>BQ15*BQ18/1000*0.8</f>
        <v>0.86486399999999986</v>
      </c>
      <c r="BS15" s="15">
        <f>BQ15*BQ18/1000*0.2</f>
        <v>0.21621599999999996</v>
      </c>
      <c r="BT15" s="86">
        <v>105</v>
      </c>
      <c r="BU15" s="14">
        <f>BT15*BT18/1000*0.8</f>
        <v>0.84084000000000003</v>
      </c>
      <c r="BV15" s="15">
        <f>BT15*BT18/1000*0.2</f>
        <v>0.21021000000000001</v>
      </c>
      <c r="BW15" s="86">
        <v>105</v>
      </c>
      <c r="BX15" s="14">
        <f>BW15*BW18/1000*0.8</f>
        <v>0.84084000000000003</v>
      </c>
      <c r="BY15" s="15">
        <f>BW15*BW18/1000*0.2</f>
        <v>0.21021000000000001</v>
      </c>
      <c r="BZ15" s="86">
        <v>105</v>
      </c>
      <c r="CA15" s="14">
        <f>BZ15*BZ18/1000*0.8</f>
        <v>0.84084000000000003</v>
      </c>
      <c r="CB15" s="15">
        <f>BZ15*BZ18/1000*0.2</f>
        <v>0.21021000000000001</v>
      </c>
    </row>
    <row r="16" spans="1:80" ht="18" customHeight="1" thickBot="1" x14ac:dyDescent="0.3">
      <c r="A16" s="1026"/>
      <c r="B16" s="1027"/>
      <c r="C16" s="1028"/>
      <c r="D16" s="1033"/>
      <c r="E16" s="1037" t="s">
        <v>15</v>
      </c>
      <c r="F16" s="1038"/>
      <c r="G16" s="1038"/>
      <c r="H16" s="1039"/>
      <c r="I16" s="1073">
        <v>8</v>
      </c>
      <c r="J16" s="1074"/>
      <c r="K16" s="1075"/>
      <c r="L16" s="1073">
        <v>8</v>
      </c>
      <c r="M16" s="1074"/>
      <c r="N16" s="1075"/>
      <c r="O16" s="1073">
        <v>8</v>
      </c>
      <c r="P16" s="1074"/>
      <c r="Q16" s="1075"/>
      <c r="R16" s="1073">
        <v>8</v>
      </c>
      <c r="S16" s="1074"/>
      <c r="T16" s="1075"/>
      <c r="U16" s="1073">
        <v>8</v>
      </c>
      <c r="V16" s="1074"/>
      <c r="W16" s="1075"/>
      <c r="X16" s="1073">
        <v>8</v>
      </c>
      <c r="Y16" s="1074"/>
      <c r="Z16" s="1075"/>
      <c r="AA16" s="1073">
        <v>8</v>
      </c>
      <c r="AB16" s="1074"/>
      <c r="AC16" s="1075"/>
      <c r="AD16" s="1073">
        <v>8</v>
      </c>
      <c r="AE16" s="1074"/>
      <c r="AF16" s="1075"/>
      <c r="AG16" s="1073">
        <v>8</v>
      </c>
      <c r="AH16" s="1074"/>
      <c r="AI16" s="1075"/>
      <c r="AJ16" s="1073">
        <v>8</v>
      </c>
      <c r="AK16" s="1074"/>
      <c r="AL16" s="1075"/>
      <c r="AM16" s="1073">
        <v>8</v>
      </c>
      <c r="AN16" s="1074"/>
      <c r="AO16" s="1075"/>
      <c r="AP16" s="1073">
        <v>8</v>
      </c>
      <c r="AQ16" s="1074"/>
      <c r="AR16" s="1075"/>
      <c r="AS16" s="1073">
        <v>8</v>
      </c>
      <c r="AT16" s="1074"/>
      <c r="AU16" s="1075"/>
      <c r="AV16" s="1073">
        <v>8</v>
      </c>
      <c r="AW16" s="1074"/>
      <c r="AX16" s="1075"/>
      <c r="AY16" s="1073">
        <v>8</v>
      </c>
      <c r="AZ16" s="1074"/>
      <c r="BA16" s="1075"/>
      <c r="BB16" s="1073">
        <v>8</v>
      </c>
      <c r="BC16" s="1074"/>
      <c r="BD16" s="1075"/>
      <c r="BE16" s="1073">
        <v>8</v>
      </c>
      <c r="BF16" s="1074"/>
      <c r="BG16" s="1075"/>
      <c r="BH16" s="1073">
        <v>8</v>
      </c>
      <c r="BI16" s="1074"/>
      <c r="BJ16" s="1075"/>
      <c r="BK16" s="1073">
        <v>8</v>
      </c>
      <c r="BL16" s="1074"/>
      <c r="BM16" s="1075"/>
      <c r="BN16" s="1073">
        <v>8</v>
      </c>
      <c r="BO16" s="1074"/>
      <c r="BP16" s="1075"/>
      <c r="BQ16" s="1073">
        <v>8</v>
      </c>
      <c r="BR16" s="1074"/>
      <c r="BS16" s="1075"/>
      <c r="BT16" s="1073">
        <v>8</v>
      </c>
      <c r="BU16" s="1074"/>
      <c r="BV16" s="1075"/>
      <c r="BW16" s="1073">
        <v>8</v>
      </c>
      <c r="BX16" s="1074"/>
      <c r="BY16" s="1075"/>
      <c r="BZ16" s="1073">
        <v>8</v>
      </c>
      <c r="CA16" s="1074"/>
      <c r="CB16" s="1075"/>
    </row>
    <row r="17" spans="1:80" ht="18" customHeight="1" thickBot="1" x14ac:dyDescent="0.3">
      <c r="A17" s="1026"/>
      <c r="B17" s="1027"/>
      <c r="C17" s="1028"/>
      <c r="D17" s="1033"/>
      <c r="E17" s="1023" t="s">
        <v>14</v>
      </c>
      <c r="F17" s="1025"/>
      <c r="G17" s="1035" t="s">
        <v>54</v>
      </c>
      <c r="H17" s="1036"/>
      <c r="I17" s="998">
        <v>35.82</v>
      </c>
      <c r="J17" s="999"/>
      <c r="K17" s="1000"/>
      <c r="L17" s="998">
        <v>35.82</v>
      </c>
      <c r="M17" s="999"/>
      <c r="N17" s="1000"/>
      <c r="O17" s="998">
        <v>35.82</v>
      </c>
      <c r="P17" s="999"/>
      <c r="Q17" s="1000"/>
      <c r="R17" s="998">
        <v>35.82</v>
      </c>
      <c r="S17" s="999"/>
      <c r="T17" s="1000"/>
      <c r="U17" s="998">
        <v>35.82</v>
      </c>
      <c r="V17" s="999"/>
      <c r="W17" s="1000"/>
      <c r="X17" s="998">
        <v>35.82</v>
      </c>
      <c r="Y17" s="999"/>
      <c r="Z17" s="1000"/>
      <c r="AA17" s="998">
        <v>35.82</v>
      </c>
      <c r="AB17" s="999"/>
      <c r="AC17" s="1000"/>
      <c r="AD17" s="998">
        <v>35.71</v>
      </c>
      <c r="AE17" s="999"/>
      <c r="AF17" s="1000"/>
      <c r="AG17" s="998">
        <v>35.71</v>
      </c>
      <c r="AH17" s="999"/>
      <c r="AI17" s="1000"/>
      <c r="AJ17" s="998">
        <v>35.71</v>
      </c>
      <c r="AK17" s="999"/>
      <c r="AL17" s="1000"/>
      <c r="AM17" s="998">
        <v>35.71</v>
      </c>
      <c r="AN17" s="999"/>
      <c r="AO17" s="1000"/>
      <c r="AP17" s="998">
        <v>35.71</v>
      </c>
      <c r="AQ17" s="999"/>
      <c r="AR17" s="1000"/>
      <c r="AS17" s="998">
        <v>35.71</v>
      </c>
      <c r="AT17" s="999"/>
      <c r="AU17" s="1000"/>
      <c r="AV17" s="998">
        <v>35.71</v>
      </c>
      <c r="AW17" s="999"/>
      <c r="AX17" s="1000"/>
      <c r="AY17" s="998">
        <v>35.71</v>
      </c>
      <c r="AZ17" s="999"/>
      <c r="BA17" s="1000"/>
      <c r="BB17" s="998">
        <v>35.71</v>
      </c>
      <c r="BC17" s="999"/>
      <c r="BD17" s="1000"/>
      <c r="BE17" s="998">
        <v>35.71</v>
      </c>
      <c r="BF17" s="999"/>
      <c r="BG17" s="1000"/>
      <c r="BH17" s="998">
        <v>35.71</v>
      </c>
      <c r="BI17" s="999"/>
      <c r="BJ17" s="1000"/>
      <c r="BK17" s="998">
        <v>35.71</v>
      </c>
      <c r="BL17" s="999"/>
      <c r="BM17" s="1000"/>
      <c r="BN17" s="998">
        <v>35.71</v>
      </c>
      <c r="BO17" s="999"/>
      <c r="BP17" s="1000"/>
      <c r="BQ17" s="998">
        <v>35.71</v>
      </c>
      <c r="BR17" s="999"/>
      <c r="BS17" s="1000"/>
      <c r="BT17" s="998">
        <v>35.71</v>
      </c>
      <c r="BU17" s="999"/>
      <c r="BV17" s="1000"/>
      <c r="BW17" s="998">
        <v>35.71</v>
      </c>
      <c r="BX17" s="999"/>
      <c r="BY17" s="1000"/>
      <c r="BZ17" s="998">
        <v>35.74</v>
      </c>
      <c r="CA17" s="999"/>
      <c r="CB17" s="1000"/>
    </row>
    <row r="18" spans="1:80" ht="18" customHeight="1" thickBot="1" x14ac:dyDescent="0.3">
      <c r="A18" s="1026"/>
      <c r="B18" s="1027"/>
      <c r="C18" s="1028"/>
      <c r="D18" s="1033"/>
      <c r="E18" s="1026"/>
      <c r="F18" s="1028"/>
      <c r="G18" s="1023" t="s">
        <v>46</v>
      </c>
      <c r="H18" s="1025"/>
      <c r="I18" s="1076">
        <v>10.09</v>
      </c>
      <c r="J18" s="1077"/>
      <c r="K18" s="1078"/>
      <c r="L18" s="1076">
        <v>10.09</v>
      </c>
      <c r="M18" s="1077"/>
      <c r="N18" s="1078"/>
      <c r="O18" s="1076">
        <v>10.09</v>
      </c>
      <c r="P18" s="1077"/>
      <c r="Q18" s="1078"/>
      <c r="R18" s="1076">
        <v>10.09</v>
      </c>
      <c r="S18" s="1077"/>
      <c r="T18" s="1078"/>
      <c r="U18" s="1076">
        <v>10.039999999999999</v>
      </c>
      <c r="V18" s="1077"/>
      <c r="W18" s="1078"/>
      <c r="X18" s="1076">
        <v>10.039999999999999</v>
      </c>
      <c r="Y18" s="1077"/>
      <c r="Z18" s="1078"/>
      <c r="AA18" s="1076">
        <v>10.01</v>
      </c>
      <c r="AB18" s="1077"/>
      <c r="AC18" s="1078"/>
      <c r="AD18" s="1076">
        <v>10.01</v>
      </c>
      <c r="AE18" s="1077"/>
      <c r="AF18" s="1078"/>
      <c r="AG18" s="1076">
        <v>10.01</v>
      </c>
      <c r="AH18" s="1077"/>
      <c r="AI18" s="1078"/>
      <c r="AJ18" s="1076">
        <v>10.01</v>
      </c>
      <c r="AK18" s="1077"/>
      <c r="AL18" s="1078"/>
      <c r="AM18" s="1076">
        <v>10.01</v>
      </c>
      <c r="AN18" s="1077"/>
      <c r="AO18" s="1078"/>
      <c r="AP18" s="1076">
        <v>10.01</v>
      </c>
      <c r="AQ18" s="1077"/>
      <c r="AR18" s="1078"/>
      <c r="AS18" s="1076">
        <v>10.01</v>
      </c>
      <c r="AT18" s="1077"/>
      <c r="AU18" s="1078"/>
      <c r="AV18" s="1076">
        <v>10.01</v>
      </c>
      <c r="AW18" s="1077"/>
      <c r="AX18" s="1078"/>
      <c r="AY18" s="1076">
        <v>10.01</v>
      </c>
      <c r="AZ18" s="1077"/>
      <c r="BA18" s="1078"/>
      <c r="BB18" s="1076">
        <v>10.01</v>
      </c>
      <c r="BC18" s="1077"/>
      <c r="BD18" s="1078"/>
      <c r="BE18" s="1076">
        <v>10.01</v>
      </c>
      <c r="BF18" s="1077"/>
      <c r="BG18" s="1078"/>
      <c r="BH18" s="1076">
        <v>10.01</v>
      </c>
      <c r="BI18" s="1077"/>
      <c r="BJ18" s="1078"/>
      <c r="BK18" s="1076">
        <v>10.01</v>
      </c>
      <c r="BL18" s="1077"/>
      <c r="BM18" s="1078"/>
      <c r="BN18" s="1076">
        <v>10.01</v>
      </c>
      <c r="BO18" s="1077"/>
      <c r="BP18" s="1078"/>
      <c r="BQ18" s="1076">
        <v>10.01</v>
      </c>
      <c r="BR18" s="1077"/>
      <c r="BS18" s="1078"/>
      <c r="BT18" s="1076">
        <v>10.01</v>
      </c>
      <c r="BU18" s="1077"/>
      <c r="BV18" s="1078"/>
      <c r="BW18" s="1076">
        <v>10.01</v>
      </c>
      <c r="BX18" s="1077"/>
      <c r="BY18" s="1078"/>
      <c r="BZ18" s="1076">
        <v>10.01</v>
      </c>
      <c r="CA18" s="1077"/>
      <c r="CB18" s="1078"/>
    </row>
    <row r="19" spans="1:80" ht="18" customHeight="1" thickBot="1" x14ac:dyDescent="0.3">
      <c r="A19" s="1029"/>
      <c r="B19" s="1030"/>
      <c r="C19" s="1031"/>
      <c r="D19" s="1034"/>
      <c r="E19" s="1037" t="s">
        <v>31</v>
      </c>
      <c r="F19" s="1038"/>
      <c r="G19" s="1037"/>
      <c r="H19" s="1039"/>
      <c r="I19" s="1073"/>
      <c r="J19" s="1074"/>
      <c r="K19" s="1075"/>
      <c r="L19" s="1073"/>
      <c r="M19" s="1074"/>
      <c r="N19" s="1075"/>
      <c r="O19" s="1073"/>
      <c r="P19" s="1074"/>
      <c r="Q19" s="1075"/>
      <c r="R19" s="1073"/>
      <c r="S19" s="1074"/>
      <c r="T19" s="1075"/>
      <c r="U19" s="1073"/>
      <c r="V19" s="1074"/>
      <c r="W19" s="1075"/>
      <c r="X19" s="1073"/>
      <c r="Y19" s="1074"/>
      <c r="Z19" s="1075"/>
      <c r="AA19" s="1073"/>
      <c r="AB19" s="1074"/>
      <c r="AC19" s="1075"/>
      <c r="AD19" s="1073"/>
      <c r="AE19" s="1074"/>
      <c r="AF19" s="1075"/>
      <c r="AG19" s="1073"/>
      <c r="AH19" s="1074"/>
      <c r="AI19" s="1075"/>
      <c r="AJ19" s="1073"/>
      <c r="AK19" s="1074"/>
      <c r="AL19" s="1075"/>
      <c r="AM19" s="1073"/>
      <c r="AN19" s="1074"/>
      <c r="AO19" s="1075"/>
      <c r="AP19" s="1073"/>
      <c r="AQ19" s="1074"/>
      <c r="AR19" s="1075"/>
      <c r="AS19" s="1073"/>
      <c r="AT19" s="1074"/>
      <c r="AU19" s="1075"/>
      <c r="AV19" s="1073"/>
      <c r="AW19" s="1074"/>
      <c r="AX19" s="1075"/>
      <c r="AY19" s="1073"/>
      <c r="AZ19" s="1074"/>
      <c r="BA19" s="1075"/>
      <c r="BB19" s="1073"/>
      <c r="BC19" s="1074"/>
      <c r="BD19" s="1075"/>
      <c r="BE19" s="1073"/>
      <c r="BF19" s="1074"/>
      <c r="BG19" s="1075"/>
      <c r="BH19" s="1073"/>
      <c r="BI19" s="1074"/>
      <c r="BJ19" s="1075"/>
      <c r="BK19" s="1073"/>
      <c r="BL19" s="1074"/>
      <c r="BM19" s="1075"/>
      <c r="BN19" s="1073"/>
      <c r="BO19" s="1074"/>
      <c r="BP19" s="1075"/>
      <c r="BQ19" s="1073"/>
      <c r="BR19" s="1074"/>
      <c r="BS19" s="1075"/>
      <c r="BT19" s="1073"/>
      <c r="BU19" s="1074"/>
      <c r="BV19" s="1075"/>
      <c r="BW19" s="1073"/>
      <c r="BX19" s="1074"/>
      <c r="BY19" s="1075"/>
      <c r="BZ19" s="1073"/>
      <c r="CA19" s="1074"/>
      <c r="CB19" s="1075"/>
    </row>
    <row r="20" spans="1:80" ht="18" customHeight="1" thickBot="1" x14ac:dyDescent="0.3">
      <c r="A20" s="1023" t="s">
        <v>16</v>
      </c>
      <c r="B20" s="1024"/>
      <c r="C20" s="1025"/>
      <c r="D20" s="1032">
        <v>10</v>
      </c>
      <c r="E20" s="1023" t="s">
        <v>13</v>
      </c>
      <c r="F20" s="1025"/>
      <c r="G20" s="1035" t="s">
        <v>54</v>
      </c>
      <c r="H20" s="1036"/>
      <c r="I20" s="77">
        <v>0</v>
      </c>
      <c r="J20" s="90">
        <f>I20*I23/1000*0.71</f>
        <v>0</v>
      </c>
      <c r="K20" s="89">
        <f>I20*I23/1000*0.29</f>
        <v>0</v>
      </c>
      <c r="L20" s="77">
        <v>0</v>
      </c>
      <c r="M20" s="90">
        <f>L20*L23/1000*0.71</f>
        <v>0</v>
      </c>
      <c r="N20" s="89">
        <f>L20*L23/1000*0.29</f>
        <v>0</v>
      </c>
      <c r="O20" s="77">
        <v>0</v>
      </c>
      <c r="P20" s="90">
        <f>O20*O23/1000*0.71</f>
        <v>0</v>
      </c>
      <c r="Q20" s="89">
        <f>O20*O23/1000*0.29</f>
        <v>0</v>
      </c>
      <c r="R20" s="77">
        <v>0</v>
      </c>
      <c r="S20" s="90">
        <f>R20*R23/1000*0.71</f>
        <v>0</v>
      </c>
      <c r="T20" s="89">
        <f>R20*R23/1000*0.29</f>
        <v>0</v>
      </c>
      <c r="U20" s="77">
        <v>0</v>
      </c>
      <c r="V20" s="90">
        <f>U20*U23/1000*0.71</f>
        <v>0</v>
      </c>
      <c r="W20" s="89">
        <f>U20*U23/1000*0.29</f>
        <v>0</v>
      </c>
      <c r="X20" s="77">
        <v>18</v>
      </c>
      <c r="Y20" s="90">
        <f>X20*X23/1000*0.71</f>
        <v>0.45739619999999998</v>
      </c>
      <c r="Z20" s="89">
        <f>X20*X23/1000*0.29</f>
        <v>0.18682379999999998</v>
      </c>
      <c r="AA20" s="77">
        <v>18</v>
      </c>
      <c r="AB20" s="90">
        <f>AA20*AA23/1000*0.71</f>
        <v>0.45739619999999998</v>
      </c>
      <c r="AC20" s="89">
        <f>AA20*AA23/1000*0.29</f>
        <v>0.18682379999999998</v>
      </c>
      <c r="AD20" s="77">
        <v>18</v>
      </c>
      <c r="AE20" s="90">
        <f>AD20*AD23/1000*0.71</f>
        <v>0.45739619999999998</v>
      </c>
      <c r="AF20" s="89">
        <f>AD20*AD23/1000*0.29</f>
        <v>0.18682379999999998</v>
      </c>
      <c r="AG20" s="77">
        <v>18</v>
      </c>
      <c r="AH20" s="90">
        <f>AG20*AG23/1000*0.71</f>
        <v>0.45739619999999998</v>
      </c>
      <c r="AI20" s="89">
        <f>AG20*AG23/1000*0.29</f>
        <v>0.18682379999999998</v>
      </c>
      <c r="AJ20" s="77">
        <v>18</v>
      </c>
      <c r="AK20" s="90">
        <f>AJ20*AJ23/1000*0.71</f>
        <v>0.45739619999999998</v>
      </c>
      <c r="AL20" s="89">
        <f>AJ20*AJ23/1000*0.29</f>
        <v>0.18682379999999998</v>
      </c>
      <c r="AM20" s="77">
        <v>18</v>
      </c>
      <c r="AN20" s="90">
        <f>AM20*AM23/1000*0.71</f>
        <v>0.45739619999999998</v>
      </c>
      <c r="AO20" s="89">
        <f>AM20*AM23/1000*0.29</f>
        <v>0.18682379999999998</v>
      </c>
      <c r="AP20" s="77">
        <v>18</v>
      </c>
      <c r="AQ20" s="90">
        <f>AP20*AP23/1000*0.71</f>
        <v>0.45739619999999998</v>
      </c>
      <c r="AR20" s="89">
        <f>AP20*AP23/1000*0.29</f>
        <v>0.18682379999999998</v>
      </c>
      <c r="AS20" s="77">
        <v>18</v>
      </c>
      <c r="AT20" s="90">
        <f>AS20*AS23/1000*0.71</f>
        <v>0.45739619999999998</v>
      </c>
      <c r="AU20" s="89">
        <f>AS20*AS23/1000*0.29</f>
        <v>0.18682379999999998</v>
      </c>
      <c r="AV20" s="77">
        <v>18</v>
      </c>
      <c r="AW20" s="90">
        <f>AV20*AV23/1000*0.71</f>
        <v>0.45739619999999998</v>
      </c>
      <c r="AX20" s="89">
        <f>AV20*AV23/1000*0.29</f>
        <v>0.18682379999999998</v>
      </c>
      <c r="AY20" s="77">
        <v>18</v>
      </c>
      <c r="AZ20" s="90">
        <f>AY20*AY23/1000*0.71</f>
        <v>0.45739619999999998</v>
      </c>
      <c r="BA20" s="89">
        <f>AY20*AY23/1000*0.29</f>
        <v>0.18682379999999998</v>
      </c>
      <c r="BB20" s="77">
        <v>18</v>
      </c>
      <c r="BC20" s="90">
        <f>BB20*BB23/1000*0.71</f>
        <v>0.45739619999999998</v>
      </c>
      <c r="BD20" s="89">
        <f>BB20*BB23/1000*0.29</f>
        <v>0.18682379999999998</v>
      </c>
      <c r="BE20" s="77">
        <v>18</v>
      </c>
      <c r="BF20" s="90">
        <f>BE20*BE23/1000*0.71</f>
        <v>0.45739619999999998</v>
      </c>
      <c r="BG20" s="89">
        <f>BE20*BE23/1000*0.29</f>
        <v>0.18682379999999998</v>
      </c>
      <c r="BH20" s="77">
        <v>18</v>
      </c>
      <c r="BI20" s="90">
        <f>BH20*BH23/1000*0.71</f>
        <v>0.45739619999999998</v>
      </c>
      <c r="BJ20" s="89">
        <f>BH20*BH23/1000*0.29</f>
        <v>0.18682379999999998</v>
      </c>
      <c r="BK20" s="77">
        <v>18</v>
      </c>
      <c r="BL20" s="90">
        <f>BK20*BK23/1000*0.71</f>
        <v>0.45739619999999998</v>
      </c>
      <c r="BM20" s="89">
        <f>BK20*BK23/1000*0.29</f>
        <v>0.18682379999999998</v>
      </c>
      <c r="BN20" s="77">
        <v>18</v>
      </c>
      <c r="BO20" s="90">
        <f>BN20*BN23/1000*0.71</f>
        <v>0.45739619999999998</v>
      </c>
      <c r="BP20" s="89">
        <f>BN20*BN23/1000*0.29</f>
        <v>0.18682379999999998</v>
      </c>
      <c r="BQ20" s="77">
        <v>12</v>
      </c>
      <c r="BR20" s="90">
        <f>BQ20*BQ23/1000*0.71</f>
        <v>0.3049308</v>
      </c>
      <c r="BS20" s="89">
        <f>BQ20*BQ23/1000*0.29</f>
        <v>0.1245492</v>
      </c>
      <c r="BT20" s="77">
        <v>9</v>
      </c>
      <c r="BU20" s="90">
        <f>BT20*BT23/1000*0.71</f>
        <v>0.22869809999999999</v>
      </c>
      <c r="BV20" s="89">
        <f>BT20*BT23/1000*0.29</f>
        <v>9.3411899999999992E-2</v>
      </c>
      <c r="BW20" s="77">
        <v>9</v>
      </c>
      <c r="BX20" s="90">
        <f>BW20*BW23/1000*0.71</f>
        <v>0.22869809999999999</v>
      </c>
      <c r="BY20" s="89">
        <f>BW20*BW23/1000*0.29</f>
        <v>9.3411899999999992E-2</v>
      </c>
      <c r="BZ20" s="77">
        <v>9</v>
      </c>
      <c r="CA20" s="90">
        <f>BZ20*BZ23/1000*0.71</f>
        <v>0.22869809999999999</v>
      </c>
      <c r="CB20" s="89">
        <f>BZ20*BZ23/1000*0.29</f>
        <v>9.3411899999999992E-2</v>
      </c>
    </row>
    <row r="21" spans="1:80" ht="18" customHeight="1" thickBot="1" x14ac:dyDescent="0.3">
      <c r="A21" s="1026"/>
      <c r="B21" s="1027"/>
      <c r="C21" s="1028"/>
      <c r="D21" s="1033"/>
      <c r="E21" s="1026"/>
      <c r="F21" s="1028"/>
      <c r="G21" s="1023" t="s">
        <v>46</v>
      </c>
      <c r="H21" s="1025"/>
      <c r="I21" s="80">
        <v>0</v>
      </c>
      <c r="J21" s="14">
        <f>I21*I24/1000*0.66</f>
        <v>0</v>
      </c>
      <c r="K21" s="15">
        <f>I21*I24/1000*0.33</f>
        <v>0</v>
      </c>
      <c r="L21" s="80">
        <v>0</v>
      </c>
      <c r="M21" s="14">
        <f>L21*L24/1000*0.66</f>
        <v>0</v>
      </c>
      <c r="N21" s="15">
        <f>L21*L24/1000*0.33</f>
        <v>0</v>
      </c>
      <c r="O21" s="80">
        <v>0</v>
      </c>
      <c r="P21" s="14">
        <f>O21*O24/1000*0.66</f>
        <v>0</v>
      </c>
      <c r="Q21" s="15">
        <f>O21*O24/1000*0.33</f>
        <v>0</v>
      </c>
      <c r="R21" s="80">
        <v>0</v>
      </c>
      <c r="S21" s="14">
        <f>R21*R24/1000*0.66</f>
        <v>0</v>
      </c>
      <c r="T21" s="15">
        <f>R21*R24/1000*0.33</f>
        <v>0</v>
      </c>
      <c r="U21" s="80">
        <v>0</v>
      </c>
      <c r="V21" s="14">
        <f>U21*U24/1000*0.66</f>
        <v>0</v>
      </c>
      <c r="W21" s="15">
        <f>U21*U24/1000*0.33</f>
        <v>0</v>
      </c>
      <c r="X21" s="80">
        <v>66</v>
      </c>
      <c r="Y21" s="14">
        <f>X21*X24/1000*0.66</f>
        <v>0.43734240000000002</v>
      </c>
      <c r="Z21" s="15">
        <f>X21*X24/1000*0.33</f>
        <v>0.21867120000000001</v>
      </c>
      <c r="AA21" s="80">
        <v>66</v>
      </c>
      <c r="AB21" s="14">
        <f>AA21*AA24/1000*0.66</f>
        <v>0.43734240000000002</v>
      </c>
      <c r="AC21" s="15">
        <f>AA21*AA24/1000*0.33</f>
        <v>0.21867120000000001</v>
      </c>
      <c r="AD21" s="80">
        <v>66</v>
      </c>
      <c r="AE21" s="14">
        <f>AD21*AD24/1000*0.66</f>
        <v>0.43734240000000002</v>
      </c>
      <c r="AF21" s="15">
        <f>AD21*AD24/1000*0.33</f>
        <v>0.21867120000000001</v>
      </c>
      <c r="AG21" s="80">
        <v>66</v>
      </c>
      <c r="AH21" s="14">
        <f>AG21*AG24/1000*0.66</f>
        <v>0.43734240000000002</v>
      </c>
      <c r="AI21" s="15">
        <f>AG21*AG24/1000*0.33</f>
        <v>0.21867120000000001</v>
      </c>
      <c r="AJ21" s="80">
        <v>66</v>
      </c>
      <c r="AK21" s="14">
        <f>AJ21*AJ24/1000*0.66</f>
        <v>0.43734240000000002</v>
      </c>
      <c r="AL21" s="15">
        <f>AJ21*AJ24/1000*0.33</f>
        <v>0.21867120000000001</v>
      </c>
      <c r="AM21" s="80">
        <v>66</v>
      </c>
      <c r="AN21" s="14">
        <f>AM21*AM24/1000*0.66</f>
        <v>0.43734240000000002</v>
      </c>
      <c r="AO21" s="15">
        <f>AM21*AM24/1000*0.33</f>
        <v>0.21867120000000001</v>
      </c>
      <c r="AP21" s="80">
        <v>66</v>
      </c>
      <c r="AQ21" s="14">
        <f>AP21*AP24/1000*0.66</f>
        <v>0.43734240000000002</v>
      </c>
      <c r="AR21" s="15">
        <f>AP21*AP24/1000*0.33</f>
        <v>0.21867120000000001</v>
      </c>
      <c r="AS21" s="80">
        <v>66</v>
      </c>
      <c r="AT21" s="14">
        <f>AS21*AS24/1000*0.66</f>
        <v>0.43734240000000002</v>
      </c>
      <c r="AU21" s="15">
        <f>AS21*AS24/1000*0.33</f>
        <v>0.21867120000000001</v>
      </c>
      <c r="AV21" s="80">
        <v>66</v>
      </c>
      <c r="AW21" s="14">
        <f>AV21*AV24/1000*0.66</f>
        <v>0.43734240000000002</v>
      </c>
      <c r="AX21" s="15">
        <f>AV21*AV24/1000*0.33</f>
        <v>0.21867120000000001</v>
      </c>
      <c r="AY21" s="80">
        <v>66</v>
      </c>
      <c r="AZ21" s="14">
        <f>AY21*AY24/1000*0.66</f>
        <v>0.43734240000000002</v>
      </c>
      <c r="BA21" s="15">
        <f>AY21*AY24/1000*0.33</f>
        <v>0.21867120000000001</v>
      </c>
      <c r="BB21" s="80">
        <v>66</v>
      </c>
      <c r="BC21" s="14">
        <f>BB21*BB24/1000*0.66</f>
        <v>0.43734240000000002</v>
      </c>
      <c r="BD21" s="15">
        <f>BB21*BB24/1000*0.33</f>
        <v>0.21867120000000001</v>
      </c>
      <c r="BE21" s="80">
        <v>66</v>
      </c>
      <c r="BF21" s="14">
        <f>BE21*BE24/1000*0.66</f>
        <v>0.43734240000000002</v>
      </c>
      <c r="BG21" s="15">
        <f>BE21*BE24/1000*0.33</f>
        <v>0.21867120000000001</v>
      </c>
      <c r="BH21" s="80">
        <v>66</v>
      </c>
      <c r="BI21" s="14">
        <f>BH21*BH24/1000*0.66</f>
        <v>0.43734240000000002</v>
      </c>
      <c r="BJ21" s="15">
        <f>BH21*BH24/1000*0.33</f>
        <v>0.21867120000000001</v>
      </c>
      <c r="BK21" s="80">
        <v>66</v>
      </c>
      <c r="BL21" s="14">
        <f>BK21*BK24/1000*0.66</f>
        <v>0.43734240000000002</v>
      </c>
      <c r="BM21" s="15">
        <f>BK21*BK24/1000*0.33</f>
        <v>0.21867120000000001</v>
      </c>
      <c r="BN21" s="80">
        <v>66</v>
      </c>
      <c r="BO21" s="14">
        <f>BN21*BN24/1000*0.66</f>
        <v>0.43734240000000002</v>
      </c>
      <c r="BP21" s="15">
        <f>BN21*BN24/1000*0.33</f>
        <v>0.21867120000000001</v>
      </c>
      <c r="BQ21" s="80">
        <v>66</v>
      </c>
      <c r="BR21" s="14">
        <f>BQ21*BQ24/1000*0.66</f>
        <v>0.43734240000000002</v>
      </c>
      <c r="BS21" s="15">
        <f>BQ21*BQ24/1000*0.33</f>
        <v>0.21867120000000001</v>
      </c>
      <c r="BT21" s="80">
        <v>49</v>
      </c>
      <c r="BU21" s="14">
        <f>BT21*BT24/1000*0.66</f>
        <v>0.32469359999999997</v>
      </c>
      <c r="BV21" s="15">
        <f>BT21*BT24/1000*0.33</f>
        <v>0.16234679999999999</v>
      </c>
      <c r="BW21" s="80">
        <v>45</v>
      </c>
      <c r="BX21" s="14">
        <f>BW21*BW24/1000*0.66</f>
        <v>0.29818800000000001</v>
      </c>
      <c r="BY21" s="15">
        <f>BW21*BW24/1000*0.33</f>
        <v>0.149094</v>
      </c>
      <c r="BZ21" s="80">
        <v>45</v>
      </c>
      <c r="CA21" s="14">
        <f>BZ21*BZ24/1000*0.66</f>
        <v>0.29818800000000001</v>
      </c>
      <c r="CB21" s="15">
        <f>BZ21*BZ24/1000*0.33</f>
        <v>0.149094</v>
      </c>
    </row>
    <row r="22" spans="1:80" ht="18" customHeight="1" thickBot="1" x14ac:dyDescent="0.3">
      <c r="A22" s="1026"/>
      <c r="B22" s="1027"/>
      <c r="C22" s="1028"/>
      <c r="D22" s="1033"/>
      <c r="E22" s="1037" t="s">
        <v>15</v>
      </c>
      <c r="F22" s="1038"/>
      <c r="G22" s="1037"/>
      <c r="H22" s="1039"/>
      <c r="I22" s="1073">
        <v>8</v>
      </c>
      <c r="J22" s="1074"/>
      <c r="K22" s="1075"/>
      <c r="L22" s="1073">
        <v>8</v>
      </c>
      <c r="M22" s="1074"/>
      <c r="N22" s="1075"/>
      <c r="O22" s="1073">
        <v>8</v>
      </c>
      <c r="P22" s="1074"/>
      <c r="Q22" s="1075"/>
      <c r="R22" s="1073">
        <v>8</v>
      </c>
      <c r="S22" s="1074"/>
      <c r="T22" s="1075"/>
      <c r="U22" s="1073">
        <v>8</v>
      </c>
      <c r="V22" s="1074"/>
      <c r="W22" s="1075"/>
      <c r="X22" s="1073">
        <v>8</v>
      </c>
      <c r="Y22" s="1074"/>
      <c r="Z22" s="1075"/>
      <c r="AA22" s="1073">
        <v>8</v>
      </c>
      <c r="AB22" s="1074"/>
      <c r="AC22" s="1075"/>
      <c r="AD22" s="1073">
        <v>8</v>
      </c>
      <c r="AE22" s="1074"/>
      <c r="AF22" s="1075"/>
      <c r="AG22" s="1073">
        <v>8</v>
      </c>
      <c r="AH22" s="1074"/>
      <c r="AI22" s="1075"/>
      <c r="AJ22" s="1073">
        <v>8</v>
      </c>
      <c r="AK22" s="1074"/>
      <c r="AL22" s="1075"/>
      <c r="AM22" s="1073">
        <v>8</v>
      </c>
      <c r="AN22" s="1074"/>
      <c r="AO22" s="1075"/>
      <c r="AP22" s="1073">
        <v>8</v>
      </c>
      <c r="AQ22" s="1074"/>
      <c r="AR22" s="1075"/>
      <c r="AS22" s="1073">
        <v>8</v>
      </c>
      <c r="AT22" s="1074"/>
      <c r="AU22" s="1075"/>
      <c r="AV22" s="1073">
        <v>8</v>
      </c>
      <c r="AW22" s="1074"/>
      <c r="AX22" s="1075"/>
      <c r="AY22" s="1073">
        <v>8</v>
      </c>
      <c r="AZ22" s="1074"/>
      <c r="BA22" s="1075"/>
      <c r="BB22" s="1073">
        <v>8</v>
      </c>
      <c r="BC22" s="1074"/>
      <c r="BD22" s="1075"/>
      <c r="BE22" s="1073">
        <v>8</v>
      </c>
      <c r="BF22" s="1074"/>
      <c r="BG22" s="1075"/>
      <c r="BH22" s="1073">
        <v>8</v>
      </c>
      <c r="BI22" s="1074"/>
      <c r="BJ22" s="1075"/>
      <c r="BK22" s="1073">
        <v>8</v>
      </c>
      <c r="BL22" s="1074"/>
      <c r="BM22" s="1075"/>
      <c r="BN22" s="1073">
        <v>8</v>
      </c>
      <c r="BO22" s="1074"/>
      <c r="BP22" s="1075"/>
      <c r="BQ22" s="1073">
        <v>8</v>
      </c>
      <c r="BR22" s="1074"/>
      <c r="BS22" s="1075"/>
      <c r="BT22" s="1073">
        <v>8</v>
      </c>
      <c r="BU22" s="1074"/>
      <c r="BV22" s="1075"/>
      <c r="BW22" s="1073">
        <v>8</v>
      </c>
      <c r="BX22" s="1074"/>
      <c r="BY22" s="1075"/>
      <c r="BZ22" s="1073">
        <v>8</v>
      </c>
      <c r="CA22" s="1074"/>
      <c r="CB22" s="1075"/>
    </row>
    <row r="23" spans="1:80" ht="18" customHeight="1" thickBot="1" x14ac:dyDescent="0.3">
      <c r="A23" s="1026"/>
      <c r="B23" s="1027"/>
      <c r="C23" s="1028"/>
      <c r="D23" s="1033"/>
      <c r="E23" s="1023" t="s">
        <v>14</v>
      </c>
      <c r="F23" s="1025"/>
      <c r="G23" s="1035" t="s">
        <v>54</v>
      </c>
      <c r="H23" s="1036"/>
      <c r="I23" s="998">
        <v>35.79</v>
      </c>
      <c r="J23" s="999"/>
      <c r="K23" s="1000"/>
      <c r="L23" s="998">
        <v>35.79</v>
      </c>
      <c r="M23" s="999"/>
      <c r="N23" s="1000"/>
      <c r="O23" s="998">
        <v>35.79</v>
      </c>
      <c r="P23" s="999"/>
      <c r="Q23" s="1000"/>
      <c r="R23" s="998">
        <v>35.79</v>
      </c>
      <c r="S23" s="999"/>
      <c r="T23" s="1000"/>
      <c r="U23" s="998">
        <v>35.79</v>
      </c>
      <c r="V23" s="999"/>
      <c r="W23" s="1000"/>
      <c r="X23" s="998">
        <v>35.79</v>
      </c>
      <c r="Y23" s="999"/>
      <c r="Z23" s="1000"/>
      <c r="AA23" s="998">
        <v>35.79</v>
      </c>
      <c r="AB23" s="999"/>
      <c r="AC23" s="1000"/>
      <c r="AD23" s="998">
        <v>35.79</v>
      </c>
      <c r="AE23" s="999"/>
      <c r="AF23" s="1000"/>
      <c r="AG23" s="998">
        <v>35.79</v>
      </c>
      <c r="AH23" s="999"/>
      <c r="AI23" s="1000"/>
      <c r="AJ23" s="998">
        <v>35.79</v>
      </c>
      <c r="AK23" s="999"/>
      <c r="AL23" s="1000"/>
      <c r="AM23" s="998">
        <v>35.79</v>
      </c>
      <c r="AN23" s="999"/>
      <c r="AO23" s="1000"/>
      <c r="AP23" s="998">
        <v>35.79</v>
      </c>
      <c r="AQ23" s="999"/>
      <c r="AR23" s="1000"/>
      <c r="AS23" s="998">
        <v>35.79</v>
      </c>
      <c r="AT23" s="999"/>
      <c r="AU23" s="1000"/>
      <c r="AV23" s="998">
        <v>35.79</v>
      </c>
      <c r="AW23" s="999"/>
      <c r="AX23" s="1000"/>
      <c r="AY23" s="998">
        <v>35.79</v>
      </c>
      <c r="AZ23" s="999"/>
      <c r="BA23" s="1000"/>
      <c r="BB23" s="998">
        <v>35.79</v>
      </c>
      <c r="BC23" s="999"/>
      <c r="BD23" s="1000"/>
      <c r="BE23" s="998">
        <v>35.79</v>
      </c>
      <c r="BF23" s="999"/>
      <c r="BG23" s="1000"/>
      <c r="BH23" s="998">
        <v>35.79</v>
      </c>
      <c r="BI23" s="999"/>
      <c r="BJ23" s="1000"/>
      <c r="BK23" s="998">
        <v>35.79</v>
      </c>
      <c r="BL23" s="999"/>
      <c r="BM23" s="1000"/>
      <c r="BN23" s="998">
        <v>35.79</v>
      </c>
      <c r="BO23" s="999"/>
      <c r="BP23" s="1000"/>
      <c r="BQ23" s="998">
        <v>35.79</v>
      </c>
      <c r="BR23" s="999"/>
      <c r="BS23" s="1000"/>
      <c r="BT23" s="998">
        <v>35.79</v>
      </c>
      <c r="BU23" s="999"/>
      <c r="BV23" s="1000"/>
      <c r="BW23" s="998">
        <v>35.79</v>
      </c>
      <c r="BX23" s="999"/>
      <c r="BY23" s="1000"/>
      <c r="BZ23" s="998">
        <v>35.79</v>
      </c>
      <c r="CA23" s="999"/>
      <c r="CB23" s="1000"/>
    </row>
    <row r="24" spans="1:80" ht="18" customHeight="1" thickBot="1" x14ac:dyDescent="0.3">
      <c r="A24" s="1026"/>
      <c r="B24" s="1027"/>
      <c r="C24" s="1028"/>
      <c r="D24" s="1033"/>
      <c r="E24" s="1026"/>
      <c r="F24" s="1028"/>
      <c r="G24" s="1023" t="s">
        <v>46</v>
      </c>
      <c r="H24" s="1025"/>
      <c r="I24" s="1076">
        <v>10.039999999999999</v>
      </c>
      <c r="J24" s="1077"/>
      <c r="K24" s="1078"/>
      <c r="L24" s="1076">
        <v>10.039999999999999</v>
      </c>
      <c r="M24" s="1077"/>
      <c r="N24" s="1078"/>
      <c r="O24" s="1076">
        <v>10.039999999999999</v>
      </c>
      <c r="P24" s="1077"/>
      <c r="Q24" s="1078"/>
      <c r="R24" s="1076">
        <v>10.039999999999999</v>
      </c>
      <c r="S24" s="1077"/>
      <c r="T24" s="1078"/>
      <c r="U24" s="1076">
        <v>10.039999999999999</v>
      </c>
      <c r="V24" s="1077"/>
      <c r="W24" s="1078"/>
      <c r="X24" s="1076">
        <v>10.039999999999999</v>
      </c>
      <c r="Y24" s="1077"/>
      <c r="Z24" s="1078"/>
      <c r="AA24" s="1076">
        <v>10.039999999999999</v>
      </c>
      <c r="AB24" s="1077"/>
      <c r="AC24" s="1078"/>
      <c r="AD24" s="1076">
        <v>10.039999999999999</v>
      </c>
      <c r="AE24" s="1077"/>
      <c r="AF24" s="1078"/>
      <c r="AG24" s="1076">
        <v>10.039999999999999</v>
      </c>
      <c r="AH24" s="1077"/>
      <c r="AI24" s="1078"/>
      <c r="AJ24" s="1076">
        <v>10.039999999999999</v>
      </c>
      <c r="AK24" s="1077"/>
      <c r="AL24" s="1078"/>
      <c r="AM24" s="1076">
        <v>10.039999999999999</v>
      </c>
      <c r="AN24" s="1077"/>
      <c r="AO24" s="1078"/>
      <c r="AP24" s="1076">
        <v>10.039999999999999</v>
      </c>
      <c r="AQ24" s="1077"/>
      <c r="AR24" s="1078"/>
      <c r="AS24" s="1076">
        <v>10.039999999999999</v>
      </c>
      <c r="AT24" s="1077"/>
      <c r="AU24" s="1078"/>
      <c r="AV24" s="1076">
        <v>10.039999999999999</v>
      </c>
      <c r="AW24" s="1077"/>
      <c r="AX24" s="1078"/>
      <c r="AY24" s="1076">
        <v>10.039999999999999</v>
      </c>
      <c r="AZ24" s="1077"/>
      <c r="BA24" s="1078"/>
      <c r="BB24" s="1076">
        <v>10.039999999999999</v>
      </c>
      <c r="BC24" s="1077"/>
      <c r="BD24" s="1078"/>
      <c r="BE24" s="1076">
        <v>10.039999999999999</v>
      </c>
      <c r="BF24" s="1077"/>
      <c r="BG24" s="1078"/>
      <c r="BH24" s="1076">
        <v>10.039999999999999</v>
      </c>
      <c r="BI24" s="1077"/>
      <c r="BJ24" s="1078"/>
      <c r="BK24" s="1076">
        <v>10.039999999999999</v>
      </c>
      <c r="BL24" s="1077"/>
      <c r="BM24" s="1078"/>
      <c r="BN24" s="1076">
        <v>10.039999999999999</v>
      </c>
      <c r="BO24" s="1077"/>
      <c r="BP24" s="1078"/>
      <c r="BQ24" s="1076">
        <v>10.039999999999999</v>
      </c>
      <c r="BR24" s="1077"/>
      <c r="BS24" s="1078"/>
      <c r="BT24" s="1076">
        <v>10.039999999999999</v>
      </c>
      <c r="BU24" s="1077"/>
      <c r="BV24" s="1078"/>
      <c r="BW24" s="1076">
        <v>10.039999999999999</v>
      </c>
      <c r="BX24" s="1077"/>
      <c r="BY24" s="1078"/>
      <c r="BZ24" s="1076">
        <v>10.039999999999999</v>
      </c>
      <c r="CA24" s="1077"/>
      <c r="CB24" s="1078"/>
    </row>
    <row r="25" spans="1:80" ht="18" customHeight="1" thickBot="1" x14ac:dyDescent="0.3">
      <c r="A25" s="1029"/>
      <c r="B25" s="1030"/>
      <c r="C25" s="1031"/>
      <c r="D25" s="1034"/>
      <c r="E25" s="1037" t="s">
        <v>31</v>
      </c>
      <c r="F25" s="1038"/>
      <c r="G25" s="1037"/>
      <c r="H25" s="1039"/>
      <c r="I25" s="1073"/>
      <c r="J25" s="1074"/>
      <c r="K25" s="1075"/>
      <c r="L25" s="1073"/>
      <c r="M25" s="1074"/>
      <c r="N25" s="1075"/>
      <c r="O25" s="1073"/>
      <c r="P25" s="1074"/>
      <c r="Q25" s="1075"/>
      <c r="R25" s="1073"/>
      <c r="S25" s="1074"/>
      <c r="T25" s="1075"/>
      <c r="U25" s="1073"/>
      <c r="V25" s="1074"/>
      <c r="W25" s="1075"/>
      <c r="X25" s="1073"/>
      <c r="Y25" s="1074"/>
      <c r="Z25" s="1075"/>
      <c r="AA25" s="1073"/>
      <c r="AB25" s="1074"/>
      <c r="AC25" s="1075"/>
      <c r="AD25" s="1073"/>
      <c r="AE25" s="1074"/>
      <c r="AF25" s="1075"/>
      <c r="AG25" s="1073"/>
      <c r="AH25" s="1074"/>
      <c r="AI25" s="1075"/>
      <c r="AJ25" s="1073"/>
      <c r="AK25" s="1074"/>
      <c r="AL25" s="1075"/>
      <c r="AM25" s="1073"/>
      <c r="AN25" s="1074"/>
      <c r="AO25" s="1075"/>
      <c r="AP25" s="1073"/>
      <c r="AQ25" s="1074"/>
      <c r="AR25" s="1075"/>
      <c r="AS25" s="1073"/>
      <c r="AT25" s="1074"/>
      <c r="AU25" s="1075"/>
      <c r="AV25" s="1073"/>
      <c r="AW25" s="1074"/>
      <c r="AX25" s="1075"/>
      <c r="AY25" s="1073"/>
      <c r="AZ25" s="1074"/>
      <c r="BA25" s="1075"/>
      <c r="BB25" s="1073"/>
      <c r="BC25" s="1074"/>
      <c r="BD25" s="1075"/>
      <c r="BE25" s="1073"/>
      <c r="BF25" s="1074"/>
      <c r="BG25" s="1075"/>
      <c r="BH25" s="1073"/>
      <c r="BI25" s="1074"/>
      <c r="BJ25" s="1075"/>
      <c r="BK25" s="1073"/>
      <c r="BL25" s="1074"/>
      <c r="BM25" s="1075"/>
      <c r="BN25" s="1073"/>
      <c r="BO25" s="1074"/>
      <c r="BP25" s="1075"/>
      <c r="BQ25" s="1073"/>
      <c r="BR25" s="1074"/>
      <c r="BS25" s="1075"/>
      <c r="BT25" s="1073"/>
      <c r="BU25" s="1074"/>
      <c r="BV25" s="1075"/>
      <c r="BW25" s="1073"/>
      <c r="BX25" s="1074"/>
      <c r="BY25" s="1075"/>
      <c r="BZ25" s="1073"/>
      <c r="CA25" s="1074"/>
      <c r="CB25" s="1075"/>
    </row>
    <row r="26" spans="1:80" ht="6.75" customHeight="1" x14ac:dyDescent="0.2">
      <c r="A26" s="1023" t="s">
        <v>17</v>
      </c>
      <c r="B26" s="1024"/>
      <c r="C26" s="1025"/>
      <c r="D26" s="1032">
        <v>6.3E-2</v>
      </c>
      <c r="E26" s="1023" t="s">
        <v>13</v>
      </c>
      <c r="F26" s="1025"/>
      <c r="G26" s="1023" t="s">
        <v>47</v>
      </c>
      <c r="H26" s="1024"/>
      <c r="I26" s="983">
        <v>40</v>
      </c>
      <c r="J26" s="986">
        <f>I26*I29/1000000*(1-0.6626)</f>
        <v>5.3714080000000003E-3</v>
      </c>
      <c r="K26" s="989">
        <f>I26*I29/1000000*(0.6626)</f>
        <v>1.0548591999999999E-2</v>
      </c>
      <c r="L26" s="983">
        <v>40</v>
      </c>
      <c r="M26" s="986">
        <f>L26*L29/1000000*(1-0.6626)</f>
        <v>5.3714080000000003E-3</v>
      </c>
      <c r="N26" s="989">
        <f>L26*L29/1000000*(0.6626)</f>
        <v>1.0548591999999999E-2</v>
      </c>
      <c r="O26" s="983">
        <v>40</v>
      </c>
      <c r="P26" s="986">
        <f>O26*O29/1000000*(1-0.6626)</f>
        <v>5.3714080000000003E-3</v>
      </c>
      <c r="Q26" s="989">
        <f>O26*O29/1000000*(0.6626)</f>
        <v>1.0548591999999999E-2</v>
      </c>
      <c r="R26" s="983">
        <v>40</v>
      </c>
      <c r="S26" s="986">
        <f>R26*R29/1000000*(1-0.6626)</f>
        <v>5.3714080000000003E-3</v>
      </c>
      <c r="T26" s="989">
        <f>R26*R29/1000000*(0.6626)</f>
        <v>1.0548591999999999E-2</v>
      </c>
      <c r="U26" s="983">
        <v>40</v>
      </c>
      <c r="V26" s="986">
        <f>U26*U29/1000000*(1-0.6626)</f>
        <v>5.3714080000000003E-3</v>
      </c>
      <c r="W26" s="989">
        <f>U26*U29/1000000*(0.6626)</f>
        <v>1.0548591999999999E-2</v>
      </c>
      <c r="X26" s="983">
        <v>40</v>
      </c>
      <c r="Y26" s="986">
        <f>X26*X29/1000000*(1-0.6626)</f>
        <v>5.3714080000000003E-3</v>
      </c>
      <c r="Z26" s="989">
        <f>X26*X29/1000000*(0.6626)</f>
        <v>1.0548591999999999E-2</v>
      </c>
      <c r="AA26" s="983">
        <v>40</v>
      </c>
      <c r="AB26" s="986">
        <f>AA26*AA29/1000000*(1-0.6626)</f>
        <v>5.3714080000000003E-3</v>
      </c>
      <c r="AC26" s="989">
        <f>AA26*AA29/1000000*(0.6626)</f>
        <v>1.0548591999999999E-2</v>
      </c>
      <c r="AD26" s="983">
        <v>40</v>
      </c>
      <c r="AE26" s="986">
        <f>AD26*AD29/1000000*(1-0.6626)</f>
        <v>5.3714080000000003E-3</v>
      </c>
      <c r="AF26" s="989">
        <f>AD26*AD29/1000000*(0.6626)</f>
        <v>1.0548591999999999E-2</v>
      </c>
      <c r="AG26" s="983">
        <v>40</v>
      </c>
      <c r="AH26" s="986">
        <f>AG26*AG29/1000000*(1-0.6626)</f>
        <v>5.3714080000000003E-3</v>
      </c>
      <c r="AI26" s="989">
        <f>AG26*AG29/1000000*(0.6626)</f>
        <v>1.0548591999999999E-2</v>
      </c>
      <c r="AJ26" s="983">
        <v>40</v>
      </c>
      <c r="AK26" s="986">
        <f>AJ26*AJ29/1000000*(1-0.6626)</f>
        <v>5.3714080000000003E-3</v>
      </c>
      <c r="AL26" s="989">
        <f>AJ26*AJ29/1000000*(0.6626)</f>
        <v>1.0548591999999999E-2</v>
      </c>
      <c r="AM26" s="983">
        <v>40</v>
      </c>
      <c r="AN26" s="986">
        <f>AM26*AM29/1000000*(1-0.6626)</f>
        <v>5.3714080000000003E-3</v>
      </c>
      <c r="AO26" s="989">
        <f>AM26*AM29/1000000*(0.6626)</f>
        <v>1.0548591999999999E-2</v>
      </c>
      <c r="AP26" s="983">
        <v>40</v>
      </c>
      <c r="AQ26" s="986">
        <f>AP26*AP29/1000000*(1-0.6626)</f>
        <v>5.3714080000000003E-3</v>
      </c>
      <c r="AR26" s="989">
        <f>AP26*AP29/1000000*(0.6626)</f>
        <v>1.0548591999999999E-2</v>
      </c>
      <c r="AS26" s="983">
        <v>40</v>
      </c>
      <c r="AT26" s="986">
        <f>AS26*AS29/1000000*(1-0.6626)</f>
        <v>5.3714080000000003E-3</v>
      </c>
      <c r="AU26" s="989">
        <f>AS26*AS29/1000000*(0.6626)</f>
        <v>1.0548591999999999E-2</v>
      </c>
      <c r="AV26" s="983">
        <v>40</v>
      </c>
      <c r="AW26" s="986">
        <f>AV26*AV29/1000000*(1-0.6626)</f>
        <v>5.3714080000000003E-3</v>
      </c>
      <c r="AX26" s="989">
        <f>AV26*AV29/1000000*(0.6626)</f>
        <v>1.0548591999999999E-2</v>
      </c>
      <c r="AY26" s="983">
        <v>40</v>
      </c>
      <c r="AZ26" s="986">
        <f>AY26*AY29/1000000*(1-0.6626)</f>
        <v>5.3714080000000003E-3</v>
      </c>
      <c r="BA26" s="989">
        <f>AY26*AY29/1000000*(0.6626)</f>
        <v>1.0548591999999999E-2</v>
      </c>
      <c r="BB26" s="983">
        <v>40</v>
      </c>
      <c r="BC26" s="986">
        <f>BB26*BB29/1000000*(1-0.6626)</f>
        <v>5.3714080000000003E-3</v>
      </c>
      <c r="BD26" s="989">
        <f>BB26*BB29/1000000*(0.6626)</f>
        <v>1.0548591999999999E-2</v>
      </c>
      <c r="BE26" s="983">
        <v>40</v>
      </c>
      <c r="BF26" s="986">
        <f>BE26*BE29/1000000*(1-0.6626)</f>
        <v>5.3714080000000003E-3</v>
      </c>
      <c r="BG26" s="989">
        <f>BE26*BE29/1000000*(0.6626)</f>
        <v>1.0548591999999999E-2</v>
      </c>
      <c r="BH26" s="983">
        <v>40</v>
      </c>
      <c r="BI26" s="986">
        <f>BH26*BH29/1000000*(1-0.6626)</f>
        <v>5.3714080000000003E-3</v>
      </c>
      <c r="BJ26" s="989">
        <f>BH26*BH29/1000000*(0.6626)</f>
        <v>1.0548591999999999E-2</v>
      </c>
      <c r="BK26" s="983">
        <v>40</v>
      </c>
      <c r="BL26" s="986">
        <f>BK26*BK29/1000000*(1-0.6626)</f>
        <v>5.3714080000000003E-3</v>
      </c>
      <c r="BM26" s="989">
        <f>BK26*BK29/1000000*(0.6626)</f>
        <v>1.0548591999999999E-2</v>
      </c>
      <c r="BN26" s="983">
        <v>40</v>
      </c>
      <c r="BO26" s="986">
        <f>BN26*BN29/1000000*(1-0.6626)</f>
        <v>5.3714080000000003E-3</v>
      </c>
      <c r="BP26" s="989">
        <f>BN26*BN29/1000000*(0.6626)</f>
        <v>1.0548591999999999E-2</v>
      </c>
      <c r="BQ26" s="983">
        <v>40</v>
      </c>
      <c r="BR26" s="986">
        <f>BQ26*BQ29/1000000*(1-0.6626)</f>
        <v>5.3714080000000003E-3</v>
      </c>
      <c r="BS26" s="989">
        <f>BQ26*BQ29/1000000*(0.6626)</f>
        <v>1.0548591999999999E-2</v>
      </c>
      <c r="BT26" s="983">
        <v>40</v>
      </c>
      <c r="BU26" s="986">
        <f>BT26*BT29/1000000*(1-0.6626)</f>
        <v>5.3714080000000003E-3</v>
      </c>
      <c r="BV26" s="989">
        <f>BT26*BT29/1000000*(0.6626)</f>
        <v>1.0548591999999999E-2</v>
      </c>
      <c r="BW26" s="983">
        <v>40</v>
      </c>
      <c r="BX26" s="986">
        <f>BW26*BW29/1000000*(1-0.6626)</f>
        <v>5.3714080000000003E-3</v>
      </c>
      <c r="BY26" s="989">
        <f>BW26*BW29/1000000*(0.6626)</f>
        <v>1.0548591999999999E-2</v>
      </c>
      <c r="BZ26" s="983">
        <v>40</v>
      </c>
      <c r="CA26" s="986">
        <f>BZ26*BZ29/1000000*(1-0.6626)</f>
        <v>5.3714080000000003E-3</v>
      </c>
      <c r="CB26" s="989">
        <f>BZ26*BZ29/1000000*(0.6626)</f>
        <v>1.0548591999999999E-2</v>
      </c>
    </row>
    <row r="27" spans="1:80" ht="6.75" customHeight="1" x14ac:dyDescent="0.2">
      <c r="A27" s="1026"/>
      <c r="B27" s="1027"/>
      <c r="C27" s="1028"/>
      <c r="D27" s="1033"/>
      <c r="E27" s="1026"/>
      <c r="F27" s="1028"/>
      <c r="G27" s="1026"/>
      <c r="H27" s="1027"/>
      <c r="I27" s="984"/>
      <c r="J27" s="987"/>
      <c r="K27" s="990"/>
      <c r="L27" s="984"/>
      <c r="M27" s="987"/>
      <c r="N27" s="990"/>
      <c r="O27" s="984"/>
      <c r="P27" s="987"/>
      <c r="Q27" s="990"/>
      <c r="R27" s="984"/>
      <c r="S27" s="987"/>
      <c r="T27" s="990"/>
      <c r="U27" s="984"/>
      <c r="V27" s="987"/>
      <c r="W27" s="990"/>
      <c r="X27" s="984"/>
      <c r="Y27" s="987"/>
      <c r="Z27" s="990"/>
      <c r="AA27" s="984"/>
      <c r="AB27" s="987"/>
      <c r="AC27" s="990"/>
      <c r="AD27" s="984"/>
      <c r="AE27" s="987"/>
      <c r="AF27" s="990"/>
      <c r="AG27" s="984"/>
      <c r="AH27" s="987"/>
      <c r="AI27" s="990"/>
      <c r="AJ27" s="984"/>
      <c r="AK27" s="987"/>
      <c r="AL27" s="990"/>
      <c r="AM27" s="984"/>
      <c r="AN27" s="987"/>
      <c r="AO27" s="990"/>
      <c r="AP27" s="984"/>
      <c r="AQ27" s="987"/>
      <c r="AR27" s="990"/>
      <c r="AS27" s="984"/>
      <c r="AT27" s="987"/>
      <c r="AU27" s="990"/>
      <c r="AV27" s="984"/>
      <c r="AW27" s="987"/>
      <c r="AX27" s="990"/>
      <c r="AY27" s="984"/>
      <c r="AZ27" s="987"/>
      <c r="BA27" s="990"/>
      <c r="BB27" s="984"/>
      <c r="BC27" s="987"/>
      <c r="BD27" s="990"/>
      <c r="BE27" s="984"/>
      <c r="BF27" s="987"/>
      <c r="BG27" s="990"/>
      <c r="BH27" s="984"/>
      <c r="BI27" s="987"/>
      <c r="BJ27" s="990"/>
      <c r="BK27" s="984"/>
      <c r="BL27" s="987"/>
      <c r="BM27" s="990"/>
      <c r="BN27" s="984"/>
      <c r="BO27" s="987"/>
      <c r="BP27" s="990"/>
      <c r="BQ27" s="984"/>
      <c r="BR27" s="987"/>
      <c r="BS27" s="990"/>
      <c r="BT27" s="984"/>
      <c r="BU27" s="987"/>
      <c r="BV27" s="990"/>
      <c r="BW27" s="984"/>
      <c r="BX27" s="987"/>
      <c r="BY27" s="990"/>
      <c r="BZ27" s="984"/>
      <c r="CA27" s="987"/>
      <c r="CB27" s="990"/>
    </row>
    <row r="28" spans="1:80" ht="6.75" customHeight="1" thickBot="1" x14ac:dyDescent="0.25">
      <c r="A28" s="1026"/>
      <c r="B28" s="1027"/>
      <c r="C28" s="1028"/>
      <c r="D28" s="1033"/>
      <c r="E28" s="1029"/>
      <c r="F28" s="1031"/>
      <c r="G28" s="1029"/>
      <c r="H28" s="1030"/>
      <c r="I28" s="985"/>
      <c r="J28" s="988"/>
      <c r="K28" s="991"/>
      <c r="L28" s="985"/>
      <c r="M28" s="988"/>
      <c r="N28" s="991"/>
      <c r="O28" s="985"/>
      <c r="P28" s="988"/>
      <c r="Q28" s="991"/>
      <c r="R28" s="985"/>
      <c r="S28" s="988"/>
      <c r="T28" s="991"/>
      <c r="U28" s="985"/>
      <c r="V28" s="988"/>
      <c r="W28" s="991"/>
      <c r="X28" s="985"/>
      <c r="Y28" s="988"/>
      <c r="Z28" s="991"/>
      <c r="AA28" s="985"/>
      <c r="AB28" s="988"/>
      <c r="AC28" s="991"/>
      <c r="AD28" s="985"/>
      <c r="AE28" s="988"/>
      <c r="AF28" s="991"/>
      <c r="AG28" s="985"/>
      <c r="AH28" s="988"/>
      <c r="AI28" s="991"/>
      <c r="AJ28" s="985"/>
      <c r="AK28" s="988"/>
      <c r="AL28" s="991"/>
      <c r="AM28" s="985"/>
      <c r="AN28" s="988"/>
      <c r="AO28" s="991"/>
      <c r="AP28" s="985"/>
      <c r="AQ28" s="988"/>
      <c r="AR28" s="991"/>
      <c r="AS28" s="985"/>
      <c r="AT28" s="988"/>
      <c r="AU28" s="991"/>
      <c r="AV28" s="985"/>
      <c r="AW28" s="988"/>
      <c r="AX28" s="991"/>
      <c r="AY28" s="985"/>
      <c r="AZ28" s="988"/>
      <c r="BA28" s="991"/>
      <c r="BB28" s="985"/>
      <c r="BC28" s="988"/>
      <c r="BD28" s="991"/>
      <c r="BE28" s="985"/>
      <c r="BF28" s="988"/>
      <c r="BG28" s="991"/>
      <c r="BH28" s="985"/>
      <c r="BI28" s="988"/>
      <c r="BJ28" s="991"/>
      <c r="BK28" s="985"/>
      <c r="BL28" s="988"/>
      <c r="BM28" s="991"/>
      <c r="BN28" s="985"/>
      <c r="BO28" s="988"/>
      <c r="BP28" s="991"/>
      <c r="BQ28" s="985"/>
      <c r="BR28" s="988"/>
      <c r="BS28" s="991"/>
      <c r="BT28" s="985"/>
      <c r="BU28" s="988"/>
      <c r="BV28" s="991"/>
      <c r="BW28" s="985"/>
      <c r="BX28" s="988"/>
      <c r="BY28" s="991"/>
      <c r="BZ28" s="985"/>
      <c r="CA28" s="988"/>
      <c r="CB28" s="991"/>
    </row>
    <row r="29" spans="1:80" ht="6.75" customHeight="1" x14ac:dyDescent="0.2">
      <c r="A29" s="1026"/>
      <c r="B29" s="1027"/>
      <c r="C29" s="1028"/>
      <c r="D29" s="1033"/>
      <c r="E29" s="1023" t="s">
        <v>14</v>
      </c>
      <c r="F29" s="1025"/>
      <c r="G29" s="1023" t="s">
        <v>47</v>
      </c>
      <c r="H29" s="1024"/>
      <c r="I29" s="977">
        <v>398</v>
      </c>
      <c r="J29" s="978"/>
      <c r="K29" s="979"/>
      <c r="L29" s="977">
        <v>398</v>
      </c>
      <c r="M29" s="978"/>
      <c r="N29" s="979"/>
      <c r="O29" s="977">
        <v>398</v>
      </c>
      <c r="P29" s="978"/>
      <c r="Q29" s="979"/>
      <c r="R29" s="977">
        <v>398</v>
      </c>
      <c r="S29" s="978"/>
      <c r="T29" s="979"/>
      <c r="U29" s="977">
        <v>398</v>
      </c>
      <c r="V29" s="978"/>
      <c r="W29" s="979"/>
      <c r="X29" s="977">
        <v>398</v>
      </c>
      <c r="Y29" s="978"/>
      <c r="Z29" s="979"/>
      <c r="AA29" s="977">
        <v>398</v>
      </c>
      <c r="AB29" s="978"/>
      <c r="AC29" s="979"/>
      <c r="AD29" s="977">
        <v>398</v>
      </c>
      <c r="AE29" s="978"/>
      <c r="AF29" s="979"/>
      <c r="AG29" s="977">
        <v>398</v>
      </c>
      <c r="AH29" s="978"/>
      <c r="AI29" s="979"/>
      <c r="AJ29" s="977">
        <v>398</v>
      </c>
      <c r="AK29" s="978"/>
      <c r="AL29" s="979"/>
      <c r="AM29" s="977">
        <v>398</v>
      </c>
      <c r="AN29" s="978"/>
      <c r="AO29" s="979"/>
      <c r="AP29" s="977">
        <v>398</v>
      </c>
      <c r="AQ29" s="978"/>
      <c r="AR29" s="979"/>
      <c r="AS29" s="977">
        <v>398</v>
      </c>
      <c r="AT29" s="978"/>
      <c r="AU29" s="979"/>
      <c r="AV29" s="977">
        <v>398</v>
      </c>
      <c r="AW29" s="978"/>
      <c r="AX29" s="979"/>
      <c r="AY29" s="977">
        <v>398</v>
      </c>
      <c r="AZ29" s="978"/>
      <c r="BA29" s="979"/>
      <c r="BB29" s="977">
        <v>398</v>
      </c>
      <c r="BC29" s="978"/>
      <c r="BD29" s="979"/>
      <c r="BE29" s="977">
        <v>398</v>
      </c>
      <c r="BF29" s="978"/>
      <c r="BG29" s="979"/>
      <c r="BH29" s="977">
        <v>398</v>
      </c>
      <c r="BI29" s="978"/>
      <c r="BJ29" s="979"/>
      <c r="BK29" s="977">
        <v>398</v>
      </c>
      <c r="BL29" s="978"/>
      <c r="BM29" s="979"/>
      <c r="BN29" s="977">
        <v>398</v>
      </c>
      <c r="BO29" s="978"/>
      <c r="BP29" s="979"/>
      <c r="BQ29" s="977">
        <v>398</v>
      </c>
      <c r="BR29" s="978"/>
      <c r="BS29" s="979"/>
      <c r="BT29" s="977">
        <v>398</v>
      </c>
      <c r="BU29" s="978"/>
      <c r="BV29" s="979"/>
      <c r="BW29" s="977">
        <v>398</v>
      </c>
      <c r="BX29" s="978"/>
      <c r="BY29" s="979"/>
      <c r="BZ29" s="977">
        <v>398</v>
      </c>
      <c r="CA29" s="978"/>
      <c r="CB29" s="979"/>
    </row>
    <row r="30" spans="1:80" ht="6.75" customHeight="1" x14ac:dyDescent="0.2">
      <c r="A30" s="1026"/>
      <c r="B30" s="1027"/>
      <c r="C30" s="1028"/>
      <c r="D30" s="1033"/>
      <c r="E30" s="1026"/>
      <c r="F30" s="1028"/>
      <c r="G30" s="1026"/>
      <c r="H30" s="1027"/>
      <c r="I30" s="977"/>
      <c r="J30" s="978"/>
      <c r="K30" s="979"/>
      <c r="L30" s="977"/>
      <c r="M30" s="978"/>
      <c r="N30" s="979"/>
      <c r="O30" s="977"/>
      <c r="P30" s="978"/>
      <c r="Q30" s="979"/>
      <c r="R30" s="977"/>
      <c r="S30" s="978"/>
      <c r="T30" s="979"/>
      <c r="U30" s="977"/>
      <c r="V30" s="978"/>
      <c r="W30" s="979"/>
      <c r="X30" s="977"/>
      <c r="Y30" s="978"/>
      <c r="Z30" s="979"/>
      <c r="AA30" s="977"/>
      <c r="AB30" s="978"/>
      <c r="AC30" s="979"/>
      <c r="AD30" s="977"/>
      <c r="AE30" s="978"/>
      <c r="AF30" s="979"/>
      <c r="AG30" s="977"/>
      <c r="AH30" s="978"/>
      <c r="AI30" s="979"/>
      <c r="AJ30" s="977"/>
      <c r="AK30" s="978"/>
      <c r="AL30" s="979"/>
      <c r="AM30" s="977"/>
      <c r="AN30" s="978"/>
      <c r="AO30" s="979"/>
      <c r="AP30" s="977"/>
      <c r="AQ30" s="978"/>
      <c r="AR30" s="979"/>
      <c r="AS30" s="977"/>
      <c r="AT30" s="978"/>
      <c r="AU30" s="979"/>
      <c r="AV30" s="977"/>
      <c r="AW30" s="978"/>
      <c r="AX30" s="979"/>
      <c r="AY30" s="977"/>
      <c r="AZ30" s="978"/>
      <c r="BA30" s="979"/>
      <c r="BB30" s="977"/>
      <c r="BC30" s="978"/>
      <c r="BD30" s="979"/>
      <c r="BE30" s="977"/>
      <c r="BF30" s="978"/>
      <c r="BG30" s="979"/>
      <c r="BH30" s="977"/>
      <c r="BI30" s="978"/>
      <c r="BJ30" s="979"/>
      <c r="BK30" s="977"/>
      <c r="BL30" s="978"/>
      <c r="BM30" s="979"/>
      <c r="BN30" s="977"/>
      <c r="BO30" s="978"/>
      <c r="BP30" s="979"/>
      <c r="BQ30" s="977"/>
      <c r="BR30" s="978"/>
      <c r="BS30" s="979"/>
      <c r="BT30" s="977"/>
      <c r="BU30" s="978"/>
      <c r="BV30" s="979"/>
      <c r="BW30" s="977"/>
      <c r="BX30" s="978"/>
      <c r="BY30" s="979"/>
      <c r="BZ30" s="977"/>
      <c r="CA30" s="978"/>
      <c r="CB30" s="979"/>
    </row>
    <row r="31" spans="1:80" ht="6.75" customHeight="1" thickBot="1" x14ac:dyDescent="0.25">
      <c r="A31" s="1029"/>
      <c r="B31" s="1030"/>
      <c r="C31" s="1031"/>
      <c r="D31" s="1034"/>
      <c r="E31" s="1029"/>
      <c r="F31" s="1031"/>
      <c r="G31" s="1029"/>
      <c r="H31" s="1030"/>
      <c r="I31" s="992"/>
      <c r="J31" s="993"/>
      <c r="K31" s="994"/>
      <c r="L31" s="992"/>
      <c r="M31" s="993"/>
      <c r="N31" s="994"/>
      <c r="O31" s="992"/>
      <c r="P31" s="993"/>
      <c r="Q31" s="994"/>
      <c r="R31" s="992"/>
      <c r="S31" s="993"/>
      <c r="T31" s="994"/>
      <c r="U31" s="992"/>
      <c r="V31" s="993"/>
      <c r="W31" s="994"/>
      <c r="X31" s="992"/>
      <c r="Y31" s="993"/>
      <c r="Z31" s="994"/>
      <c r="AA31" s="992"/>
      <c r="AB31" s="993"/>
      <c r="AC31" s="994"/>
      <c r="AD31" s="992"/>
      <c r="AE31" s="993"/>
      <c r="AF31" s="994"/>
      <c r="AG31" s="992"/>
      <c r="AH31" s="993"/>
      <c r="AI31" s="994"/>
      <c r="AJ31" s="992"/>
      <c r="AK31" s="993"/>
      <c r="AL31" s="994"/>
      <c r="AM31" s="992"/>
      <c r="AN31" s="993"/>
      <c r="AO31" s="994"/>
      <c r="AP31" s="992"/>
      <c r="AQ31" s="993"/>
      <c r="AR31" s="994"/>
      <c r="AS31" s="992"/>
      <c r="AT31" s="993"/>
      <c r="AU31" s="994"/>
      <c r="AV31" s="992"/>
      <c r="AW31" s="993"/>
      <c r="AX31" s="994"/>
      <c r="AY31" s="992"/>
      <c r="AZ31" s="993"/>
      <c r="BA31" s="994"/>
      <c r="BB31" s="992"/>
      <c r="BC31" s="993"/>
      <c r="BD31" s="994"/>
      <c r="BE31" s="992"/>
      <c r="BF31" s="993"/>
      <c r="BG31" s="994"/>
      <c r="BH31" s="992"/>
      <c r="BI31" s="993"/>
      <c r="BJ31" s="994"/>
      <c r="BK31" s="992"/>
      <c r="BL31" s="993"/>
      <c r="BM31" s="994"/>
      <c r="BN31" s="992"/>
      <c r="BO31" s="993"/>
      <c r="BP31" s="994"/>
      <c r="BQ31" s="992"/>
      <c r="BR31" s="993"/>
      <c r="BS31" s="994"/>
      <c r="BT31" s="992"/>
      <c r="BU31" s="993"/>
      <c r="BV31" s="994"/>
      <c r="BW31" s="992"/>
      <c r="BX31" s="993"/>
      <c r="BY31" s="994"/>
      <c r="BZ31" s="992"/>
      <c r="CA31" s="993"/>
      <c r="CB31" s="994"/>
    </row>
    <row r="32" spans="1:80" ht="7.5" customHeight="1" x14ac:dyDescent="0.2">
      <c r="A32" s="1023" t="s">
        <v>18</v>
      </c>
      <c r="B32" s="1024"/>
      <c r="C32" s="1025"/>
      <c r="D32" s="1032">
        <v>6.3E-2</v>
      </c>
      <c r="E32" s="1023" t="s">
        <v>13</v>
      </c>
      <c r="F32" s="1025"/>
      <c r="G32" s="1023" t="s">
        <v>47</v>
      </c>
      <c r="H32" s="1024"/>
      <c r="I32" s="983">
        <v>0</v>
      </c>
      <c r="J32" s="986">
        <v>0</v>
      </c>
      <c r="K32" s="989">
        <v>0</v>
      </c>
      <c r="L32" s="983">
        <v>0</v>
      </c>
      <c r="M32" s="986">
        <v>0</v>
      </c>
      <c r="N32" s="989">
        <v>0</v>
      </c>
      <c r="O32" s="983">
        <v>0</v>
      </c>
      <c r="P32" s="986">
        <v>0</v>
      </c>
      <c r="Q32" s="989">
        <v>0</v>
      </c>
      <c r="R32" s="983">
        <v>0</v>
      </c>
      <c r="S32" s="986">
        <v>0</v>
      </c>
      <c r="T32" s="989">
        <v>0</v>
      </c>
      <c r="U32" s="983">
        <v>0</v>
      </c>
      <c r="V32" s="986">
        <v>0</v>
      </c>
      <c r="W32" s="989">
        <v>0</v>
      </c>
      <c r="X32" s="983">
        <v>0</v>
      </c>
      <c r="Y32" s="986">
        <v>0</v>
      </c>
      <c r="Z32" s="989">
        <v>0</v>
      </c>
      <c r="AA32" s="983">
        <v>0</v>
      </c>
      <c r="AB32" s="986">
        <v>0</v>
      </c>
      <c r="AC32" s="989">
        <v>0</v>
      </c>
      <c r="AD32" s="983">
        <v>0</v>
      </c>
      <c r="AE32" s="986">
        <v>0</v>
      </c>
      <c r="AF32" s="989">
        <v>0</v>
      </c>
      <c r="AG32" s="983">
        <v>0</v>
      </c>
      <c r="AH32" s="986">
        <v>0</v>
      </c>
      <c r="AI32" s="989">
        <v>0</v>
      </c>
      <c r="AJ32" s="983">
        <v>0</v>
      </c>
      <c r="AK32" s="986">
        <v>0</v>
      </c>
      <c r="AL32" s="989">
        <v>0</v>
      </c>
      <c r="AM32" s="983">
        <v>0</v>
      </c>
      <c r="AN32" s="986">
        <v>0</v>
      </c>
      <c r="AO32" s="989">
        <v>0</v>
      </c>
      <c r="AP32" s="983">
        <v>0</v>
      </c>
      <c r="AQ32" s="986">
        <v>0</v>
      </c>
      <c r="AR32" s="989">
        <v>0</v>
      </c>
      <c r="AS32" s="983">
        <v>0</v>
      </c>
      <c r="AT32" s="986">
        <v>0</v>
      </c>
      <c r="AU32" s="989">
        <v>0</v>
      </c>
      <c r="AV32" s="983">
        <v>0</v>
      </c>
      <c r="AW32" s="986">
        <v>0</v>
      </c>
      <c r="AX32" s="989">
        <v>0</v>
      </c>
      <c r="AY32" s="983">
        <v>0</v>
      </c>
      <c r="AZ32" s="986">
        <v>0</v>
      </c>
      <c r="BA32" s="989">
        <v>0</v>
      </c>
      <c r="BB32" s="983">
        <v>0</v>
      </c>
      <c r="BC32" s="986">
        <v>0</v>
      </c>
      <c r="BD32" s="989">
        <v>0</v>
      </c>
      <c r="BE32" s="983">
        <v>0</v>
      </c>
      <c r="BF32" s="986">
        <v>0</v>
      </c>
      <c r="BG32" s="989">
        <v>0</v>
      </c>
      <c r="BH32" s="983">
        <v>0</v>
      </c>
      <c r="BI32" s="986">
        <v>0</v>
      </c>
      <c r="BJ32" s="989">
        <v>0</v>
      </c>
      <c r="BK32" s="983">
        <v>0</v>
      </c>
      <c r="BL32" s="986">
        <v>0</v>
      </c>
      <c r="BM32" s="989">
        <v>0</v>
      </c>
      <c r="BN32" s="983">
        <v>0</v>
      </c>
      <c r="BO32" s="986">
        <v>0</v>
      </c>
      <c r="BP32" s="989">
        <v>0</v>
      </c>
      <c r="BQ32" s="983">
        <v>0</v>
      </c>
      <c r="BR32" s="986">
        <v>0</v>
      </c>
      <c r="BS32" s="989">
        <v>0</v>
      </c>
      <c r="BT32" s="983">
        <v>0</v>
      </c>
      <c r="BU32" s="986">
        <v>0</v>
      </c>
      <c r="BV32" s="989">
        <v>0</v>
      </c>
      <c r="BW32" s="983">
        <v>0</v>
      </c>
      <c r="BX32" s="986">
        <v>0</v>
      </c>
      <c r="BY32" s="989">
        <v>0</v>
      </c>
      <c r="BZ32" s="983">
        <v>0</v>
      </c>
      <c r="CA32" s="986">
        <v>0</v>
      </c>
      <c r="CB32" s="989">
        <v>0</v>
      </c>
    </row>
    <row r="33" spans="1:80" ht="7.5" customHeight="1" x14ac:dyDescent="0.2">
      <c r="A33" s="1026"/>
      <c r="B33" s="1027"/>
      <c r="C33" s="1028"/>
      <c r="D33" s="1033"/>
      <c r="E33" s="1026"/>
      <c r="F33" s="1028"/>
      <c r="G33" s="1026"/>
      <c r="H33" s="1027"/>
      <c r="I33" s="984"/>
      <c r="J33" s="987"/>
      <c r="K33" s="990"/>
      <c r="L33" s="984"/>
      <c r="M33" s="987"/>
      <c r="N33" s="990"/>
      <c r="O33" s="984"/>
      <c r="P33" s="987"/>
      <c r="Q33" s="990"/>
      <c r="R33" s="984"/>
      <c r="S33" s="987"/>
      <c r="T33" s="990"/>
      <c r="U33" s="984"/>
      <c r="V33" s="987"/>
      <c r="W33" s="990"/>
      <c r="X33" s="984"/>
      <c r="Y33" s="987"/>
      <c r="Z33" s="990"/>
      <c r="AA33" s="984"/>
      <c r="AB33" s="987"/>
      <c r="AC33" s="990"/>
      <c r="AD33" s="984"/>
      <c r="AE33" s="987"/>
      <c r="AF33" s="990"/>
      <c r="AG33" s="984"/>
      <c r="AH33" s="987"/>
      <c r="AI33" s="990"/>
      <c r="AJ33" s="984"/>
      <c r="AK33" s="987"/>
      <c r="AL33" s="990"/>
      <c r="AM33" s="984"/>
      <c r="AN33" s="987"/>
      <c r="AO33" s="990"/>
      <c r="AP33" s="984"/>
      <c r="AQ33" s="987"/>
      <c r="AR33" s="990"/>
      <c r="AS33" s="984"/>
      <c r="AT33" s="987"/>
      <c r="AU33" s="990"/>
      <c r="AV33" s="984"/>
      <c r="AW33" s="987"/>
      <c r="AX33" s="990"/>
      <c r="AY33" s="984"/>
      <c r="AZ33" s="987"/>
      <c r="BA33" s="990"/>
      <c r="BB33" s="984"/>
      <c r="BC33" s="987"/>
      <c r="BD33" s="990"/>
      <c r="BE33" s="984"/>
      <c r="BF33" s="987"/>
      <c r="BG33" s="990"/>
      <c r="BH33" s="984"/>
      <c r="BI33" s="987"/>
      <c r="BJ33" s="990"/>
      <c r="BK33" s="984"/>
      <c r="BL33" s="987"/>
      <c r="BM33" s="990"/>
      <c r="BN33" s="984"/>
      <c r="BO33" s="987"/>
      <c r="BP33" s="990"/>
      <c r="BQ33" s="984"/>
      <c r="BR33" s="987"/>
      <c r="BS33" s="990"/>
      <c r="BT33" s="984"/>
      <c r="BU33" s="987"/>
      <c r="BV33" s="990"/>
      <c r="BW33" s="984"/>
      <c r="BX33" s="987"/>
      <c r="BY33" s="990"/>
      <c r="BZ33" s="984"/>
      <c r="CA33" s="987"/>
      <c r="CB33" s="990"/>
    </row>
    <row r="34" spans="1:80" ht="7.5" customHeight="1" thickBot="1" x14ac:dyDescent="0.25">
      <c r="A34" s="1026"/>
      <c r="B34" s="1027"/>
      <c r="C34" s="1028"/>
      <c r="D34" s="1033"/>
      <c r="E34" s="1029"/>
      <c r="F34" s="1031"/>
      <c r="G34" s="1029"/>
      <c r="H34" s="1030"/>
      <c r="I34" s="985"/>
      <c r="J34" s="988"/>
      <c r="K34" s="991"/>
      <c r="L34" s="985"/>
      <c r="M34" s="988"/>
      <c r="N34" s="991"/>
      <c r="O34" s="985"/>
      <c r="P34" s="988"/>
      <c r="Q34" s="991"/>
      <c r="R34" s="985"/>
      <c r="S34" s="988"/>
      <c r="T34" s="991"/>
      <c r="U34" s="985"/>
      <c r="V34" s="988"/>
      <c r="W34" s="991"/>
      <c r="X34" s="985"/>
      <c r="Y34" s="988"/>
      <c r="Z34" s="991"/>
      <c r="AA34" s="985"/>
      <c r="AB34" s="988"/>
      <c r="AC34" s="991"/>
      <c r="AD34" s="985"/>
      <c r="AE34" s="988"/>
      <c r="AF34" s="991"/>
      <c r="AG34" s="985"/>
      <c r="AH34" s="988"/>
      <c r="AI34" s="991"/>
      <c r="AJ34" s="985"/>
      <c r="AK34" s="988"/>
      <c r="AL34" s="991"/>
      <c r="AM34" s="985"/>
      <c r="AN34" s="988"/>
      <c r="AO34" s="991"/>
      <c r="AP34" s="985"/>
      <c r="AQ34" s="988"/>
      <c r="AR34" s="991"/>
      <c r="AS34" s="985"/>
      <c r="AT34" s="988"/>
      <c r="AU34" s="991"/>
      <c r="AV34" s="985"/>
      <c r="AW34" s="988"/>
      <c r="AX34" s="991"/>
      <c r="AY34" s="985"/>
      <c r="AZ34" s="988"/>
      <c r="BA34" s="991"/>
      <c r="BB34" s="985"/>
      <c r="BC34" s="988"/>
      <c r="BD34" s="991"/>
      <c r="BE34" s="985"/>
      <c r="BF34" s="988"/>
      <c r="BG34" s="991"/>
      <c r="BH34" s="985"/>
      <c r="BI34" s="988"/>
      <c r="BJ34" s="991"/>
      <c r="BK34" s="985"/>
      <c r="BL34" s="988"/>
      <c r="BM34" s="991"/>
      <c r="BN34" s="985"/>
      <c r="BO34" s="988"/>
      <c r="BP34" s="991"/>
      <c r="BQ34" s="985"/>
      <c r="BR34" s="988"/>
      <c r="BS34" s="991"/>
      <c r="BT34" s="985"/>
      <c r="BU34" s="988"/>
      <c r="BV34" s="991"/>
      <c r="BW34" s="985"/>
      <c r="BX34" s="988"/>
      <c r="BY34" s="991"/>
      <c r="BZ34" s="985"/>
      <c r="CA34" s="988"/>
      <c r="CB34" s="991"/>
    </row>
    <row r="35" spans="1:80" ht="7.5" customHeight="1" x14ac:dyDescent="0.2">
      <c r="A35" s="1026"/>
      <c r="B35" s="1027"/>
      <c r="C35" s="1028"/>
      <c r="D35" s="1033"/>
      <c r="E35" s="1023" t="s">
        <v>14</v>
      </c>
      <c r="F35" s="1025"/>
      <c r="G35" s="1023" t="s">
        <v>47</v>
      </c>
      <c r="H35" s="1024"/>
      <c r="I35" s="974">
        <v>405</v>
      </c>
      <c r="J35" s="975"/>
      <c r="K35" s="976"/>
      <c r="L35" s="974">
        <v>405</v>
      </c>
      <c r="M35" s="975"/>
      <c r="N35" s="976"/>
      <c r="O35" s="974">
        <v>405</v>
      </c>
      <c r="P35" s="975"/>
      <c r="Q35" s="976"/>
      <c r="R35" s="974">
        <v>405</v>
      </c>
      <c r="S35" s="975"/>
      <c r="T35" s="976"/>
      <c r="U35" s="974">
        <v>405</v>
      </c>
      <c r="V35" s="975"/>
      <c r="W35" s="976"/>
      <c r="X35" s="974">
        <v>405</v>
      </c>
      <c r="Y35" s="975"/>
      <c r="Z35" s="976"/>
      <c r="AA35" s="974">
        <v>405</v>
      </c>
      <c r="AB35" s="975"/>
      <c r="AC35" s="976"/>
      <c r="AD35" s="974">
        <v>405</v>
      </c>
      <c r="AE35" s="975"/>
      <c r="AF35" s="976"/>
      <c r="AG35" s="974">
        <v>405</v>
      </c>
      <c r="AH35" s="975"/>
      <c r="AI35" s="976"/>
      <c r="AJ35" s="974">
        <v>405</v>
      </c>
      <c r="AK35" s="975"/>
      <c r="AL35" s="976"/>
      <c r="AM35" s="974">
        <v>405</v>
      </c>
      <c r="AN35" s="975"/>
      <c r="AO35" s="976"/>
      <c r="AP35" s="974">
        <v>405</v>
      </c>
      <c r="AQ35" s="975"/>
      <c r="AR35" s="976"/>
      <c r="AS35" s="974">
        <v>405</v>
      </c>
      <c r="AT35" s="975"/>
      <c r="AU35" s="976"/>
      <c r="AV35" s="974">
        <v>405</v>
      </c>
      <c r="AW35" s="975"/>
      <c r="AX35" s="976"/>
      <c r="AY35" s="974">
        <v>405</v>
      </c>
      <c r="AZ35" s="975"/>
      <c r="BA35" s="976"/>
      <c r="BB35" s="974">
        <v>405</v>
      </c>
      <c r="BC35" s="975"/>
      <c r="BD35" s="976"/>
      <c r="BE35" s="974">
        <v>405</v>
      </c>
      <c r="BF35" s="975"/>
      <c r="BG35" s="976"/>
      <c r="BH35" s="974">
        <v>405</v>
      </c>
      <c r="BI35" s="975"/>
      <c r="BJ35" s="976"/>
      <c r="BK35" s="974">
        <v>405</v>
      </c>
      <c r="BL35" s="975"/>
      <c r="BM35" s="976"/>
      <c r="BN35" s="974">
        <v>405</v>
      </c>
      <c r="BO35" s="975"/>
      <c r="BP35" s="976"/>
      <c r="BQ35" s="974">
        <v>405</v>
      </c>
      <c r="BR35" s="975"/>
      <c r="BS35" s="976"/>
      <c r="BT35" s="974">
        <v>405</v>
      </c>
      <c r="BU35" s="975"/>
      <c r="BV35" s="976"/>
      <c r="BW35" s="974">
        <v>405</v>
      </c>
      <c r="BX35" s="975"/>
      <c r="BY35" s="976"/>
      <c r="BZ35" s="974">
        <v>405</v>
      </c>
      <c r="CA35" s="975"/>
      <c r="CB35" s="976"/>
    </row>
    <row r="36" spans="1:80" ht="7.5" customHeight="1" x14ac:dyDescent="0.2">
      <c r="A36" s="1026"/>
      <c r="B36" s="1027"/>
      <c r="C36" s="1028"/>
      <c r="D36" s="1033"/>
      <c r="E36" s="1026"/>
      <c r="F36" s="1028"/>
      <c r="G36" s="1026"/>
      <c r="H36" s="1027"/>
      <c r="I36" s="977"/>
      <c r="J36" s="978"/>
      <c r="K36" s="979"/>
      <c r="L36" s="977"/>
      <c r="M36" s="978"/>
      <c r="N36" s="979"/>
      <c r="O36" s="977"/>
      <c r="P36" s="978"/>
      <c r="Q36" s="979"/>
      <c r="R36" s="977"/>
      <c r="S36" s="978"/>
      <c r="T36" s="979"/>
      <c r="U36" s="977"/>
      <c r="V36" s="978"/>
      <c r="W36" s="979"/>
      <c r="X36" s="977"/>
      <c r="Y36" s="978"/>
      <c r="Z36" s="979"/>
      <c r="AA36" s="977"/>
      <c r="AB36" s="978"/>
      <c r="AC36" s="979"/>
      <c r="AD36" s="977"/>
      <c r="AE36" s="978"/>
      <c r="AF36" s="979"/>
      <c r="AG36" s="977"/>
      <c r="AH36" s="978"/>
      <c r="AI36" s="979"/>
      <c r="AJ36" s="977"/>
      <c r="AK36" s="978"/>
      <c r="AL36" s="979"/>
      <c r="AM36" s="977"/>
      <c r="AN36" s="978"/>
      <c r="AO36" s="979"/>
      <c r="AP36" s="977"/>
      <c r="AQ36" s="978"/>
      <c r="AR36" s="979"/>
      <c r="AS36" s="977"/>
      <c r="AT36" s="978"/>
      <c r="AU36" s="979"/>
      <c r="AV36" s="977"/>
      <c r="AW36" s="978"/>
      <c r="AX36" s="979"/>
      <c r="AY36" s="977"/>
      <c r="AZ36" s="978"/>
      <c r="BA36" s="979"/>
      <c r="BB36" s="977"/>
      <c r="BC36" s="978"/>
      <c r="BD36" s="979"/>
      <c r="BE36" s="977"/>
      <c r="BF36" s="978"/>
      <c r="BG36" s="979"/>
      <c r="BH36" s="977"/>
      <c r="BI36" s="978"/>
      <c r="BJ36" s="979"/>
      <c r="BK36" s="977"/>
      <c r="BL36" s="978"/>
      <c r="BM36" s="979"/>
      <c r="BN36" s="977"/>
      <c r="BO36" s="978"/>
      <c r="BP36" s="979"/>
      <c r="BQ36" s="977"/>
      <c r="BR36" s="978"/>
      <c r="BS36" s="979"/>
      <c r="BT36" s="977"/>
      <c r="BU36" s="978"/>
      <c r="BV36" s="979"/>
      <c r="BW36" s="977"/>
      <c r="BX36" s="978"/>
      <c r="BY36" s="979"/>
      <c r="BZ36" s="977"/>
      <c r="CA36" s="978"/>
      <c r="CB36" s="979"/>
    </row>
    <row r="37" spans="1:80" ht="7.5" customHeight="1" thickBot="1" x14ac:dyDescent="0.25">
      <c r="A37" s="1029"/>
      <c r="B37" s="1030"/>
      <c r="C37" s="1031"/>
      <c r="D37" s="1034"/>
      <c r="E37" s="1029"/>
      <c r="F37" s="1031"/>
      <c r="G37" s="1029"/>
      <c r="H37" s="1030"/>
      <c r="I37" s="980"/>
      <c r="J37" s="981"/>
      <c r="K37" s="982"/>
      <c r="L37" s="980"/>
      <c r="M37" s="981"/>
      <c r="N37" s="982"/>
      <c r="O37" s="980"/>
      <c r="P37" s="981"/>
      <c r="Q37" s="982"/>
      <c r="R37" s="980"/>
      <c r="S37" s="981"/>
      <c r="T37" s="982"/>
      <c r="U37" s="980"/>
      <c r="V37" s="981"/>
      <c r="W37" s="982"/>
      <c r="X37" s="980"/>
      <c r="Y37" s="981"/>
      <c r="Z37" s="982"/>
      <c r="AA37" s="980"/>
      <c r="AB37" s="981"/>
      <c r="AC37" s="982"/>
      <c r="AD37" s="980"/>
      <c r="AE37" s="981"/>
      <c r="AF37" s="982"/>
      <c r="AG37" s="980"/>
      <c r="AH37" s="981"/>
      <c r="AI37" s="982"/>
      <c r="AJ37" s="980"/>
      <c r="AK37" s="981"/>
      <c r="AL37" s="982"/>
      <c r="AM37" s="980"/>
      <c r="AN37" s="981"/>
      <c r="AO37" s="982"/>
      <c r="AP37" s="980"/>
      <c r="AQ37" s="981"/>
      <c r="AR37" s="982"/>
      <c r="AS37" s="980"/>
      <c r="AT37" s="981"/>
      <c r="AU37" s="982"/>
      <c r="AV37" s="980"/>
      <c r="AW37" s="981"/>
      <c r="AX37" s="982"/>
      <c r="AY37" s="980"/>
      <c r="AZ37" s="981"/>
      <c r="BA37" s="982"/>
      <c r="BB37" s="980"/>
      <c r="BC37" s="981"/>
      <c r="BD37" s="982"/>
      <c r="BE37" s="980"/>
      <c r="BF37" s="981"/>
      <c r="BG37" s="982"/>
      <c r="BH37" s="980"/>
      <c r="BI37" s="981"/>
      <c r="BJ37" s="982"/>
      <c r="BK37" s="980"/>
      <c r="BL37" s="981"/>
      <c r="BM37" s="982"/>
      <c r="BN37" s="980"/>
      <c r="BO37" s="981"/>
      <c r="BP37" s="982"/>
      <c r="BQ37" s="980"/>
      <c r="BR37" s="981"/>
      <c r="BS37" s="982"/>
      <c r="BT37" s="980"/>
      <c r="BU37" s="981"/>
      <c r="BV37" s="982"/>
      <c r="BW37" s="980"/>
      <c r="BX37" s="981"/>
      <c r="BY37" s="982"/>
      <c r="BZ37" s="980"/>
      <c r="CA37" s="981"/>
      <c r="CB37" s="982"/>
    </row>
    <row r="38" spans="1:80" ht="24" customHeight="1" x14ac:dyDescent="0.25">
      <c r="A38" s="1048" t="s">
        <v>19</v>
      </c>
      <c r="B38" s="1049"/>
      <c r="C38" s="1049"/>
      <c r="D38" s="1050"/>
      <c r="E38" s="1035" t="s">
        <v>30</v>
      </c>
      <c r="F38" s="1053"/>
      <c r="G38" s="1053"/>
      <c r="H38" s="1036"/>
      <c r="I38" s="77"/>
      <c r="J38" s="78"/>
      <c r="K38" s="79"/>
      <c r="L38" s="83"/>
      <c r="M38" s="78"/>
      <c r="N38" s="79"/>
      <c r="O38" s="77"/>
      <c r="P38" s="78"/>
      <c r="Q38" s="79"/>
      <c r="R38" s="77"/>
      <c r="S38" s="78"/>
      <c r="T38" s="79"/>
      <c r="U38" s="77"/>
      <c r="V38" s="78"/>
      <c r="W38" s="79"/>
      <c r="X38" s="83"/>
      <c r="Y38" s="78"/>
      <c r="Z38" s="79"/>
      <c r="AA38" s="77"/>
      <c r="AB38" s="78"/>
      <c r="AC38" s="79"/>
      <c r="AD38" s="77"/>
      <c r="AE38" s="78"/>
      <c r="AF38" s="79"/>
      <c r="AG38" s="77"/>
      <c r="AH38" s="78"/>
      <c r="AI38" s="79"/>
      <c r="AJ38" s="83"/>
      <c r="AK38" s="78"/>
      <c r="AL38" s="79"/>
      <c r="AM38" s="77"/>
      <c r="AN38" s="78"/>
      <c r="AO38" s="79"/>
      <c r="AP38" s="77"/>
      <c r="AQ38" s="78"/>
      <c r="AR38" s="79"/>
      <c r="AS38" s="77"/>
      <c r="AT38" s="78"/>
      <c r="AU38" s="79"/>
      <c r="AV38" s="83"/>
      <c r="AW38" s="78"/>
      <c r="AX38" s="79"/>
      <c r="AY38" s="77"/>
      <c r="AZ38" s="78"/>
      <c r="BA38" s="79"/>
      <c r="BB38" s="77"/>
      <c r="BC38" s="78"/>
      <c r="BD38" s="79"/>
      <c r="BE38" s="77"/>
      <c r="BF38" s="78"/>
      <c r="BG38" s="79"/>
      <c r="BH38" s="83"/>
      <c r="BI38" s="78"/>
      <c r="BJ38" s="79"/>
      <c r="BK38" s="77"/>
      <c r="BL38" s="78"/>
      <c r="BM38" s="79"/>
      <c r="BN38" s="77"/>
      <c r="BO38" s="78"/>
      <c r="BP38" s="79"/>
      <c r="BQ38" s="77"/>
      <c r="BR38" s="78"/>
      <c r="BS38" s="79"/>
      <c r="BT38" s="83"/>
      <c r="BU38" s="78"/>
      <c r="BV38" s="79"/>
      <c r="BW38" s="77"/>
      <c r="BX38" s="78"/>
      <c r="BY38" s="79"/>
      <c r="BZ38" s="77"/>
      <c r="CA38" s="78"/>
      <c r="CB38" s="79"/>
    </row>
    <row r="39" spans="1:80" ht="19.5" customHeight="1" thickBot="1" x14ac:dyDescent="0.3">
      <c r="A39" s="1051"/>
      <c r="B39" s="1019"/>
      <c r="C39" s="1019"/>
      <c r="D39" s="1052"/>
      <c r="E39" s="1054" t="s">
        <v>30</v>
      </c>
      <c r="F39" s="1055"/>
      <c r="G39" s="1055"/>
      <c r="H39" s="1056"/>
      <c r="I39" s="86"/>
      <c r="J39" s="82"/>
      <c r="K39" s="84"/>
      <c r="L39" s="85"/>
      <c r="M39" s="82"/>
      <c r="N39" s="84"/>
      <c r="O39" s="86"/>
      <c r="P39" s="82"/>
      <c r="Q39" s="84"/>
      <c r="R39" s="86"/>
      <c r="S39" s="82"/>
      <c r="T39" s="84"/>
      <c r="U39" s="86"/>
      <c r="V39" s="82"/>
      <c r="W39" s="84"/>
      <c r="X39" s="85"/>
      <c r="Y39" s="82"/>
      <c r="Z39" s="84"/>
      <c r="AA39" s="86"/>
      <c r="AB39" s="82"/>
      <c r="AC39" s="84"/>
      <c r="AD39" s="86"/>
      <c r="AE39" s="82"/>
      <c r="AF39" s="84"/>
      <c r="AG39" s="86"/>
      <c r="AH39" s="82"/>
      <c r="AI39" s="84"/>
      <c r="AJ39" s="85"/>
      <c r="AK39" s="82"/>
      <c r="AL39" s="84"/>
      <c r="AM39" s="86"/>
      <c r="AN39" s="82"/>
      <c r="AO39" s="84"/>
      <c r="AP39" s="86"/>
      <c r="AQ39" s="82"/>
      <c r="AR39" s="84"/>
      <c r="AS39" s="86"/>
      <c r="AT39" s="82"/>
      <c r="AU39" s="84"/>
      <c r="AV39" s="85"/>
      <c r="AW39" s="82"/>
      <c r="AX39" s="84"/>
      <c r="AY39" s="86"/>
      <c r="AZ39" s="82"/>
      <c r="BA39" s="84"/>
      <c r="BB39" s="86"/>
      <c r="BC39" s="82"/>
      <c r="BD39" s="84"/>
      <c r="BE39" s="86"/>
      <c r="BF39" s="82"/>
      <c r="BG39" s="84"/>
      <c r="BH39" s="85"/>
      <c r="BI39" s="82"/>
      <c r="BJ39" s="84"/>
      <c r="BK39" s="86"/>
      <c r="BL39" s="82"/>
      <c r="BM39" s="84"/>
      <c r="BN39" s="86"/>
      <c r="BO39" s="82"/>
      <c r="BP39" s="84"/>
      <c r="BQ39" s="86"/>
      <c r="BR39" s="82"/>
      <c r="BS39" s="84"/>
      <c r="BT39" s="85"/>
      <c r="BU39" s="82"/>
      <c r="BV39" s="84"/>
      <c r="BW39" s="86"/>
      <c r="BX39" s="82"/>
      <c r="BY39" s="84"/>
      <c r="BZ39" s="86"/>
      <c r="CA39" s="82"/>
      <c r="CB39" s="84"/>
    </row>
    <row r="40" spans="1:80" ht="16.5" hidden="1" x14ac:dyDescent="0.25">
      <c r="A40" s="22"/>
      <c r="B40" s="23"/>
      <c r="C40" s="23"/>
      <c r="D40" s="42"/>
      <c r="E40" s="24"/>
      <c r="F40" s="1057"/>
      <c r="G40" s="1057"/>
      <c r="H40" s="23"/>
      <c r="I40" s="23"/>
      <c r="J40" s="23"/>
      <c r="K40" s="23"/>
      <c r="L40" s="23"/>
      <c r="M40" s="42"/>
      <c r="N40" s="1057"/>
      <c r="O40" s="1057"/>
      <c r="P40" s="42"/>
      <c r="Q40" s="1057"/>
      <c r="R40" s="1057"/>
      <c r="S40" s="42"/>
      <c r="T40" s="25"/>
      <c r="U40" s="6"/>
    </row>
    <row r="41" spans="1:80" ht="16.5" x14ac:dyDescent="0.25">
      <c r="A41" s="1058" t="s">
        <v>32</v>
      </c>
      <c r="B41" s="1059"/>
      <c r="C41" s="1059"/>
      <c r="D41" s="1059"/>
      <c r="E41" s="1059" t="s">
        <v>33</v>
      </c>
      <c r="F41" s="1059"/>
      <c r="G41" s="1059"/>
      <c r="H41" s="26"/>
      <c r="I41" s="26"/>
      <c r="J41" s="26"/>
      <c r="K41" s="26"/>
      <c r="L41" s="26"/>
      <c r="M41" s="44"/>
      <c r="N41" s="1060"/>
      <c r="O41" s="1060"/>
      <c r="P41" s="44"/>
      <c r="Q41" s="1060"/>
      <c r="R41" s="1060"/>
      <c r="S41" s="44"/>
      <c r="T41" s="27"/>
      <c r="U41" s="6"/>
    </row>
    <row r="42" spans="1:80" ht="16.5" x14ac:dyDescent="0.25">
      <c r="A42" s="1058" t="s">
        <v>32</v>
      </c>
      <c r="B42" s="1059"/>
      <c r="C42" s="1059"/>
      <c r="D42" s="1059"/>
      <c r="E42" s="1059" t="s">
        <v>33</v>
      </c>
      <c r="F42" s="1059"/>
      <c r="G42" s="1059"/>
      <c r="H42" s="26"/>
      <c r="I42" s="26"/>
      <c r="J42" s="26"/>
      <c r="K42" s="26"/>
      <c r="L42" s="26"/>
      <c r="M42" s="44"/>
      <c r="N42" s="1060"/>
      <c r="O42" s="1060"/>
      <c r="P42" s="44"/>
      <c r="Q42" s="1060"/>
      <c r="R42" s="1060"/>
      <c r="S42" s="44"/>
      <c r="T42" s="27"/>
      <c r="U42" s="6"/>
    </row>
    <row r="43" spans="1:80" ht="16.5" x14ac:dyDescent="0.25">
      <c r="A43" s="1058" t="s">
        <v>32</v>
      </c>
      <c r="B43" s="1059"/>
      <c r="C43" s="1059"/>
      <c r="D43" s="1059"/>
      <c r="E43" s="1059" t="s">
        <v>33</v>
      </c>
      <c r="F43" s="1059"/>
      <c r="G43" s="1059"/>
      <c r="H43" s="26"/>
      <c r="I43" s="26"/>
      <c r="J43" s="26"/>
      <c r="K43" s="26"/>
      <c r="L43" s="26"/>
      <c r="M43" s="44"/>
      <c r="N43" s="1060"/>
      <c r="O43" s="1060"/>
      <c r="P43" s="44"/>
      <c r="Q43" s="1060"/>
      <c r="R43" s="1060"/>
      <c r="S43" s="44"/>
      <c r="T43" s="27"/>
      <c r="U43" s="6"/>
    </row>
    <row r="44" spans="1:80" ht="17.25" thickBot="1" x14ac:dyDescent="0.3">
      <c r="A44" s="28"/>
      <c r="B44" s="29"/>
      <c r="C44" s="30"/>
      <c r="D44" s="43"/>
      <c r="E44" s="31"/>
      <c r="F44" s="1061"/>
      <c r="G44" s="1061"/>
      <c r="H44" s="29"/>
      <c r="I44" s="29"/>
      <c r="J44" s="29"/>
      <c r="K44" s="29"/>
      <c r="L44" s="29"/>
      <c r="M44" s="43"/>
      <c r="N44" s="1061"/>
      <c r="O44" s="1061"/>
      <c r="P44" s="43"/>
      <c r="Q44" s="1061"/>
      <c r="R44" s="1061"/>
      <c r="S44" s="43"/>
      <c r="T44" s="32"/>
      <c r="U44" s="6"/>
    </row>
    <row r="45" spans="1:80" ht="17.25" thickBot="1" x14ac:dyDescent="0.3">
      <c r="A45" s="1062" t="s">
        <v>20</v>
      </c>
      <c r="B45" s="1063"/>
      <c r="C45" s="1063"/>
      <c r="D45" s="1063"/>
      <c r="E45" s="1063"/>
      <c r="F45" s="1063"/>
      <c r="G45" s="1063"/>
      <c r="H45" s="1064"/>
      <c r="I45" s="1001" t="s">
        <v>3</v>
      </c>
      <c r="J45" s="1002"/>
      <c r="K45" s="1003"/>
      <c r="L45" s="1001" t="s">
        <v>4</v>
      </c>
      <c r="M45" s="1002"/>
      <c r="N45" s="1003"/>
      <c r="O45" s="1001" t="s">
        <v>102</v>
      </c>
      <c r="P45" s="1002"/>
      <c r="Q45" s="1003"/>
      <c r="R45" s="1001" t="s">
        <v>103</v>
      </c>
      <c r="S45" s="1002"/>
      <c r="T45" s="1003"/>
      <c r="U45" s="1001" t="s">
        <v>104</v>
      </c>
      <c r="V45" s="1002"/>
      <c r="W45" s="1003"/>
      <c r="X45" s="1001" t="s">
        <v>105</v>
      </c>
      <c r="Y45" s="1002"/>
      <c r="Z45" s="1003"/>
      <c r="AA45" s="1001" t="s">
        <v>106</v>
      </c>
      <c r="AB45" s="1002"/>
      <c r="AC45" s="1003"/>
      <c r="AD45" s="1001" t="s">
        <v>108</v>
      </c>
      <c r="AE45" s="1002"/>
      <c r="AF45" s="1003"/>
      <c r="AG45" s="1001" t="s">
        <v>107</v>
      </c>
      <c r="AH45" s="1002"/>
      <c r="AI45" s="1003"/>
      <c r="AJ45" s="1001" t="s">
        <v>109</v>
      </c>
      <c r="AK45" s="1002"/>
      <c r="AL45" s="1003"/>
      <c r="AM45" s="1001" t="s">
        <v>110</v>
      </c>
      <c r="AN45" s="1002"/>
      <c r="AO45" s="1003"/>
      <c r="AP45" s="1001" t="s">
        <v>111</v>
      </c>
      <c r="AQ45" s="1002"/>
      <c r="AR45" s="1003"/>
      <c r="AS45" s="1001" t="s">
        <v>112</v>
      </c>
      <c r="AT45" s="1002"/>
      <c r="AU45" s="1003"/>
      <c r="AV45" s="1001" t="s">
        <v>113</v>
      </c>
      <c r="AW45" s="1002"/>
      <c r="AX45" s="1003"/>
      <c r="AY45" s="1001" t="s">
        <v>114</v>
      </c>
      <c r="AZ45" s="1002"/>
      <c r="BA45" s="1003"/>
      <c r="BB45" s="1001" t="s">
        <v>115</v>
      </c>
      <c r="BC45" s="1002"/>
      <c r="BD45" s="1003"/>
      <c r="BE45" s="1001" t="s">
        <v>116</v>
      </c>
      <c r="BF45" s="1002"/>
      <c r="BG45" s="1003"/>
      <c r="BH45" s="1001" t="s">
        <v>117</v>
      </c>
      <c r="BI45" s="1002"/>
      <c r="BJ45" s="1003"/>
      <c r="BK45" s="1001" t="s">
        <v>118</v>
      </c>
      <c r="BL45" s="1002"/>
      <c r="BM45" s="1003"/>
      <c r="BN45" s="1001" t="s">
        <v>119</v>
      </c>
      <c r="BO45" s="1002"/>
      <c r="BP45" s="1003"/>
      <c r="BQ45" s="1001" t="s">
        <v>120</v>
      </c>
      <c r="BR45" s="1002"/>
      <c r="BS45" s="1003"/>
      <c r="BT45" s="1001" t="s">
        <v>121</v>
      </c>
      <c r="BU45" s="1002"/>
      <c r="BV45" s="1003"/>
      <c r="BW45" s="1001" t="s">
        <v>122</v>
      </c>
      <c r="BX45" s="1002"/>
      <c r="BY45" s="1003"/>
      <c r="BZ45" s="1001" t="s">
        <v>5</v>
      </c>
      <c r="CA45" s="1002"/>
      <c r="CB45" s="1003"/>
    </row>
    <row r="46" spans="1:80" ht="16.5" customHeight="1" x14ac:dyDescent="0.25">
      <c r="A46" s="1048" t="s">
        <v>21</v>
      </c>
      <c r="B46" s="1049"/>
      <c r="C46" s="1049"/>
      <c r="D46" s="1050"/>
      <c r="E46" s="1066" t="s">
        <v>22</v>
      </c>
      <c r="F46" s="1067"/>
      <c r="G46" s="1068" t="s">
        <v>23</v>
      </c>
      <c r="H46" s="1069"/>
      <c r="I46" s="1014" t="s">
        <v>9</v>
      </c>
      <c r="J46" s="1012" t="s">
        <v>10</v>
      </c>
      <c r="K46" s="1012" t="s">
        <v>11</v>
      </c>
      <c r="L46" s="1014" t="s">
        <v>9</v>
      </c>
      <c r="M46" s="1012" t="s">
        <v>10</v>
      </c>
      <c r="N46" s="1012" t="s">
        <v>11</v>
      </c>
      <c r="O46" s="1014" t="s">
        <v>9</v>
      </c>
      <c r="P46" s="1012" t="s">
        <v>10</v>
      </c>
      <c r="Q46" s="1012" t="s">
        <v>11</v>
      </c>
      <c r="R46" s="1014" t="s">
        <v>9</v>
      </c>
      <c r="S46" s="1012" t="s">
        <v>10</v>
      </c>
      <c r="T46" s="1010" t="s">
        <v>11</v>
      </c>
      <c r="U46" s="1014" t="s">
        <v>9</v>
      </c>
      <c r="V46" s="1012" t="s">
        <v>10</v>
      </c>
      <c r="W46" s="1012" t="s">
        <v>11</v>
      </c>
      <c r="X46" s="1014" t="s">
        <v>9</v>
      </c>
      <c r="Y46" s="1012" t="s">
        <v>10</v>
      </c>
      <c r="Z46" s="1012" t="s">
        <v>11</v>
      </c>
      <c r="AA46" s="1014" t="s">
        <v>9</v>
      </c>
      <c r="AB46" s="1012" t="s">
        <v>10</v>
      </c>
      <c r="AC46" s="1012" t="s">
        <v>11</v>
      </c>
      <c r="AD46" s="1014" t="s">
        <v>9</v>
      </c>
      <c r="AE46" s="1012" t="s">
        <v>10</v>
      </c>
      <c r="AF46" s="1010" t="s">
        <v>11</v>
      </c>
      <c r="AG46" s="1014" t="s">
        <v>9</v>
      </c>
      <c r="AH46" s="1012" t="s">
        <v>10</v>
      </c>
      <c r="AI46" s="1012" t="s">
        <v>11</v>
      </c>
      <c r="AJ46" s="1014" t="s">
        <v>9</v>
      </c>
      <c r="AK46" s="1012" t="s">
        <v>10</v>
      </c>
      <c r="AL46" s="1012" t="s">
        <v>11</v>
      </c>
      <c r="AM46" s="1014" t="s">
        <v>9</v>
      </c>
      <c r="AN46" s="1012" t="s">
        <v>10</v>
      </c>
      <c r="AO46" s="1012" t="s">
        <v>11</v>
      </c>
      <c r="AP46" s="1014" t="s">
        <v>9</v>
      </c>
      <c r="AQ46" s="1012" t="s">
        <v>10</v>
      </c>
      <c r="AR46" s="1010" t="s">
        <v>11</v>
      </c>
      <c r="AS46" s="1014" t="s">
        <v>9</v>
      </c>
      <c r="AT46" s="1012" t="s">
        <v>10</v>
      </c>
      <c r="AU46" s="1012" t="s">
        <v>11</v>
      </c>
      <c r="AV46" s="1014" t="s">
        <v>9</v>
      </c>
      <c r="AW46" s="1012" t="s">
        <v>10</v>
      </c>
      <c r="AX46" s="1012" t="s">
        <v>11</v>
      </c>
      <c r="AY46" s="1014" t="s">
        <v>9</v>
      </c>
      <c r="AZ46" s="1012" t="s">
        <v>10</v>
      </c>
      <c r="BA46" s="1012" t="s">
        <v>11</v>
      </c>
      <c r="BB46" s="1014" t="s">
        <v>9</v>
      </c>
      <c r="BC46" s="1012" t="s">
        <v>10</v>
      </c>
      <c r="BD46" s="1010" t="s">
        <v>11</v>
      </c>
      <c r="BE46" s="1014" t="s">
        <v>9</v>
      </c>
      <c r="BF46" s="1012" t="s">
        <v>10</v>
      </c>
      <c r="BG46" s="1012" t="s">
        <v>11</v>
      </c>
      <c r="BH46" s="1014" t="s">
        <v>9</v>
      </c>
      <c r="BI46" s="1012" t="s">
        <v>10</v>
      </c>
      <c r="BJ46" s="1012" t="s">
        <v>11</v>
      </c>
      <c r="BK46" s="1014" t="s">
        <v>9</v>
      </c>
      <c r="BL46" s="1012" t="s">
        <v>10</v>
      </c>
      <c r="BM46" s="1012" t="s">
        <v>11</v>
      </c>
      <c r="BN46" s="1014" t="s">
        <v>9</v>
      </c>
      <c r="BO46" s="1012" t="s">
        <v>10</v>
      </c>
      <c r="BP46" s="1010" t="s">
        <v>11</v>
      </c>
      <c r="BQ46" s="1014" t="s">
        <v>9</v>
      </c>
      <c r="BR46" s="1012" t="s">
        <v>10</v>
      </c>
      <c r="BS46" s="1012" t="s">
        <v>11</v>
      </c>
      <c r="BT46" s="1014" t="s">
        <v>9</v>
      </c>
      <c r="BU46" s="1012" t="s">
        <v>10</v>
      </c>
      <c r="BV46" s="1012" t="s">
        <v>11</v>
      </c>
      <c r="BW46" s="1014" t="s">
        <v>9</v>
      </c>
      <c r="BX46" s="1012" t="s">
        <v>10</v>
      </c>
      <c r="BY46" s="1012" t="s">
        <v>11</v>
      </c>
      <c r="BZ46" s="1014" t="s">
        <v>9</v>
      </c>
      <c r="CA46" s="1012" t="s">
        <v>10</v>
      </c>
      <c r="CB46" s="1010" t="s">
        <v>11</v>
      </c>
    </row>
    <row r="47" spans="1:80" ht="17.25" thickBot="1" x14ac:dyDescent="0.3">
      <c r="A47" s="1051"/>
      <c r="B47" s="1019"/>
      <c r="C47" s="1018"/>
      <c r="D47" s="1065"/>
      <c r="E47" s="33" t="s">
        <v>24</v>
      </c>
      <c r="F47" s="34" t="s">
        <v>25</v>
      </c>
      <c r="G47" s="34" t="s">
        <v>24</v>
      </c>
      <c r="H47" s="35" t="s">
        <v>25</v>
      </c>
      <c r="I47" s="1015"/>
      <c r="J47" s="1013"/>
      <c r="K47" s="1013"/>
      <c r="L47" s="1015"/>
      <c r="M47" s="1013"/>
      <c r="N47" s="1013"/>
      <c r="O47" s="1015"/>
      <c r="P47" s="1013"/>
      <c r="Q47" s="1013"/>
      <c r="R47" s="1015"/>
      <c r="S47" s="1013"/>
      <c r="T47" s="1011"/>
      <c r="U47" s="1015"/>
      <c r="V47" s="1013"/>
      <c r="W47" s="1013"/>
      <c r="X47" s="1015"/>
      <c r="Y47" s="1013"/>
      <c r="Z47" s="1013"/>
      <c r="AA47" s="1015"/>
      <c r="AB47" s="1013"/>
      <c r="AC47" s="1013"/>
      <c r="AD47" s="1015"/>
      <c r="AE47" s="1013"/>
      <c r="AF47" s="1011"/>
      <c r="AG47" s="1015"/>
      <c r="AH47" s="1013"/>
      <c r="AI47" s="1013"/>
      <c r="AJ47" s="1015"/>
      <c r="AK47" s="1013"/>
      <c r="AL47" s="1013"/>
      <c r="AM47" s="1015"/>
      <c r="AN47" s="1013"/>
      <c r="AO47" s="1013"/>
      <c r="AP47" s="1015"/>
      <c r="AQ47" s="1013"/>
      <c r="AR47" s="1011"/>
      <c r="AS47" s="1015"/>
      <c r="AT47" s="1013"/>
      <c r="AU47" s="1013"/>
      <c r="AV47" s="1015"/>
      <c r="AW47" s="1013"/>
      <c r="AX47" s="1013"/>
      <c r="AY47" s="1015"/>
      <c r="AZ47" s="1013"/>
      <c r="BA47" s="1013"/>
      <c r="BB47" s="1015"/>
      <c r="BC47" s="1013"/>
      <c r="BD47" s="1011"/>
      <c r="BE47" s="1015"/>
      <c r="BF47" s="1013"/>
      <c r="BG47" s="1013"/>
      <c r="BH47" s="1015"/>
      <c r="BI47" s="1013"/>
      <c r="BJ47" s="1013"/>
      <c r="BK47" s="1015"/>
      <c r="BL47" s="1013"/>
      <c r="BM47" s="1013"/>
      <c r="BN47" s="1015"/>
      <c r="BO47" s="1013"/>
      <c r="BP47" s="1011"/>
      <c r="BQ47" s="1015"/>
      <c r="BR47" s="1013"/>
      <c r="BS47" s="1013"/>
      <c r="BT47" s="1015"/>
      <c r="BU47" s="1013"/>
      <c r="BV47" s="1013"/>
      <c r="BW47" s="1015"/>
      <c r="BX47" s="1013"/>
      <c r="BY47" s="1013"/>
      <c r="BZ47" s="1015"/>
      <c r="CA47" s="1013"/>
      <c r="CB47" s="1011"/>
    </row>
    <row r="48" spans="1:80" ht="41.25" customHeight="1" thickBot="1" x14ac:dyDescent="0.25">
      <c r="A48" s="1071" t="s">
        <v>46</v>
      </c>
      <c r="B48" s="1080" t="s">
        <v>26</v>
      </c>
      <c r="C48" s="36" t="s">
        <v>48</v>
      </c>
      <c r="D48" s="37" t="s">
        <v>51</v>
      </c>
      <c r="E48" s="36" t="s">
        <v>124</v>
      </c>
      <c r="F48" s="92" t="s">
        <v>124</v>
      </c>
      <c r="G48" s="92" t="s">
        <v>124</v>
      </c>
      <c r="H48" s="93" t="s">
        <v>124</v>
      </c>
      <c r="I48" s="107">
        <v>36</v>
      </c>
      <c r="J48" s="108">
        <f>I48*I18/1000*0.75</f>
        <v>0.27243000000000001</v>
      </c>
      <c r="K48" s="108">
        <f>I48*I18/1000*0.25</f>
        <v>9.0810000000000002E-2</v>
      </c>
      <c r="L48" s="107">
        <v>36</v>
      </c>
      <c r="M48" s="108">
        <f>L48*L18/1000*0.75</f>
        <v>0.27243000000000001</v>
      </c>
      <c r="N48" s="98">
        <f>L48*L18/1000*0.25</f>
        <v>9.0810000000000002E-2</v>
      </c>
      <c r="O48" s="68">
        <v>39</v>
      </c>
      <c r="P48" s="108">
        <f>O48*O18/1000*0.75</f>
        <v>0.29513249999999996</v>
      </c>
      <c r="Q48" s="98">
        <f>O48*O18/1000*0.25</f>
        <v>9.8377499999999993E-2</v>
      </c>
      <c r="R48" s="68">
        <v>36</v>
      </c>
      <c r="S48" s="108">
        <f>R48*R18/1000*0.75</f>
        <v>0.27243000000000001</v>
      </c>
      <c r="T48" s="98">
        <f>R48*R18/1000*0.25</f>
        <v>9.0810000000000002E-2</v>
      </c>
      <c r="U48" s="68">
        <v>36</v>
      </c>
      <c r="V48" s="108">
        <f>U48*U18/1000*0.75</f>
        <v>0.27107999999999993</v>
      </c>
      <c r="W48" s="98">
        <f>U48*U18/1000*0.25</f>
        <v>9.0359999999999982E-2</v>
      </c>
      <c r="X48" s="68">
        <v>36</v>
      </c>
      <c r="Y48" s="108">
        <f>X48*X18/1000*0.75</f>
        <v>0.27107999999999993</v>
      </c>
      <c r="Z48" s="98">
        <f>X48*X18/1000*0.25</f>
        <v>9.0359999999999982E-2</v>
      </c>
      <c r="AA48" s="68">
        <v>81</v>
      </c>
      <c r="AB48" s="108">
        <f>AA48*AA18/1000*0.75</f>
        <v>0.60810749999999991</v>
      </c>
      <c r="AC48" s="98">
        <f>AA48*AA18/1000*0.25</f>
        <v>0.20270249999999998</v>
      </c>
      <c r="AD48" s="68">
        <v>81</v>
      </c>
      <c r="AE48" s="108">
        <f>AD48*AD18/1000*0.75</f>
        <v>0.60810749999999991</v>
      </c>
      <c r="AF48" s="98">
        <f>AD48*AD18/1000*0.25</f>
        <v>0.20270249999999998</v>
      </c>
      <c r="AG48" s="68">
        <v>81</v>
      </c>
      <c r="AH48" s="108">
        <f>AG48*AG18/1000*0.75</f>
        <v>0.60810749999999991</v>
      </c>
      <c r="AI48" s="98">
        <f>AG48*AG18/1000*0.25</f>
        <v>0.20270249999999998</v>
      </c>
      <c r="AJ48" s="68">
        <v>81</v>
      </c>
      <c r="AK48" s="108">
        <f>AJ48*AJ18/1000*0.75</f>
        <v>0.60810749999999991</v>
      </c>
      <c r="AL48" s="98">
        <f>AJ48*AJ18/1000*0.25</f>
        <v>0.20270249999999998</v>
      </c>
      <c r="AM48" s="68">
        <v>81</v>
      </c>
      <c r="AN48" s="108">
        <f>AM48*AM18/1000*0.75</f>
        <v>0.60810749999999991</v>
      </c>
      <c r="AO48" s="98">
        <f>AM48*AM18/1000*0.25</f>
        <v>0.20270249999999998</v>
      </c>
      <c r="AP48" s="68">
        <v>81</v>
      </c>
      <c r="AQ48" s="108">
        <f>AP48*AP18/1000*0.75</f>
        <v>0.60810749999999991</v>
      </c>
      <c r="AR48" s="98">
        <f>AP48*AP18/1000*0.25</f>
        <v>0.20270249999999998</v>
      </c>
      <c r="AS48" s="68">
        <v>81</v>
      </c>
      <c r="AT48" s="108">
        <f>AS48*AS18/1000*0.75</f>
        <v>0.60810749999999991</v>
      </c>
      <c r="AU48" s="98">
        <f>AS48*AS18/1000*0.25</f>
        <v>0.20270249999999998</v>
      </c>
      <c r="AV48" s="68">
        <v>81</v>
      </c>
      <c r="AW48" s="108">
        <f>AV48*AV18/1000*0.75</f>
        <v>0.60810749999999991</v>
      </c>
      <c r="AX48" s="98">
        <f>AV48*AV18/1000*0.25</f>
        <v>0.20270249999999998</v>
      </c>
      <c r="AY48" s="68">
        <v>81</v>
      </c>
      <c r="AZ48" s="108">
        <f>AY48*AY18/1000*0.75</f>
        <v>0.60810749999999991</v>
      </c>
      <c r="BA48" s="98">
        <f>AY48*AY18/1000*0.25</f>
        <v>0.20270249999999998</v>
      </c>
      <c r="BB48" s="68">
        <v>81</v>
      </c>
      <c r="BC48" s="108">
        <f>BB48*BB18/1000*0.75</f>
        <v>0.60810749999999991</v>
      </c>
      <c r="BD48" s="98">
        <f>BB48*BB18/1000*0.25</f>
        <v>0.20270249999999998</v>
      </c>
      <c r="BE48" s="68">
        <v>81</v>
      </c>
      <c r="BF48" s="108">
        <f>BE48*BE18/1000*0.75</f>
        <v>0.60810749999999991</v>
      </c>
      <c r="BG48" s="98">
        <f>BE48*BE18/1000*0.25</f>
        <v>0.20270249999999998</v>
      </c>
      <c r="BH48" s="68">
        <v>81</v>
      </c>
      <c r="BI48" s="108">
        <f>BH48*BH18/1000*0.75</f>
        <v>0.60810749999999991</v>
      </c>
      <c r="BJ48" s="98">
        <f>BH48*BH18/1000*0.25</f>
        <v>0.20270249999999998</v>
      </c>
      <c r="BK48" s="68">
        <v>81</v>
      </c>
      <c r="BL48" s="108">
        <f>BK48*BK18/1000*0.75</f>
        <v>0.60810749999999991</v>
      </c>
      <c r="BM48" s="98">
        <f>BK48*BK18/1000*0.25</f>
        <v>0.20270249999999998</v>
      </c>
      <c r="BN48" s="68">
        <v>81</v>
      </c>
      <c r="BO48" s="108">
        <f>BN48*BN18/1000*0.75</f>
        <v>0.60810749999999991</v>
      </c>
      <c r="BP48" s="98">
        <f>BN48*BN18/1000*0.25</f>
        <v>0.20270249999999998</v>
      </c>
      <c r="BQ48" s="68">
        <v>81</v>
      </c>
      <c r="BR48" s="108">
        <f>BQ48*BQ18/1000*0.75</f>
        <v>0.60810749999999991</v>
      </c>
      <c r="BS48" s="98">
        <f>BQ48*BQ18/1000*0.25</f>
        <v>0.20270249999999998</v>
      </c>
      <c r="BT48" s="68">
        <v>50</v>
      </c>
      <c r="BU48" s="108">
        <f>BT48*BT18/1000*0.75</f>
        <v>0.37537499999999996</v>
      </c>
      <c r="BV48" s="98">
        <f>BT48*BT18/1000*0.25</f>
        <v>0.12512499999999999</v>
      </c>
      <c r="BW48" s="68">
        <v>50</v>
      </c>
      <c r="BX48" s="108">
        <f>BW48*BW18/1000*0.75</f>
        <v>0.37537499999999996</v>
      </c>
      <c r="BY48" s="98">
        <f>BW48*BW18/1000*0.25</f>
        <v>0.12512499999999999</v>
      </c>
      <c r="BZ48" s="68">
        <v>50</v>
      </c>
      <c r="CA48" s="108">
        <f>BZ48*BZ18/1000*0.75</f>
        <v>0.37537499999999996</v>
      </c>
      <c r="CB48" s="98">
        <f>BZ48*BZ18/1000*0.25</f>
        <v>0.12512499999999999</v>
      </c>
    </row>
    <row r="49" spans="1:80" ht="41.25" customHeight="1" thickBot="1" x14ac:dyDescent="0.25">
      <c r="A49" s="1072"/>
      <c r="B49" s="1081"/>
      <c r="C49" s="47" t="s">
        <v>49</v>
      </c>
      <c r="D49" s="48" t="s">
        <v>52</v>
      </c>
      <c r="E49" s="51" t="s">
        <v>124</v>
      </c>
      <c r="F49" s="136" t="s">
        <v>124</v>
      </c>
      <c r="G49" s="136" t="s">
        <v>124</v>
      </c>
      <c r="H49" s="137" t="s">
        <v>124</v>
      </c>
      <c r="I49" s="69">
        <v>39</v>
      </c>
      <c r="J49" s="109">
        <f>I49*I18/1000*0.8527</f>
        <v>0.335545977</v>
      </c>
      <c r="K49" s="109">
        <f>I49*I18/1000*(1-0.8527)</f>
        <v>5.796402299999999E-2</v>
      </c>
      <c r="L49" s="69">
        <v>39</v>
      </c>
      <c r="M49" s="109">
        <f>L49*L18/1000*0.8527</f>
        <v>0.335545977</v>
      </c>
      <c r="N49" s="109">
        <f>L49*L18/1000*(1-0.8527)</f>
        <v>5.796402299999999E-2</v>
      </c>
      <c r="O49" s="99">
        <v>36</v>
      </c>
      <c r="P49" s="109">
        <f>O49*O18/1000*0.8527</f>
        <v>0.309734748</v>
      </c>
      <c r="Q49" s="109">
        <f>O49*O18/1000*(1-0.8527)</f>
        <v>5.3505251999999996E-2</v>
      </c>
      <c r="R49" s="99">
        <v>39</v>
      </c>
      <c r="S49" s="109">
        <f>R49*R18/1000*0.8527</f>
        <v>0.335545977</v>
      </c>
      <c r="T49" s="109">
        <f>R49*R18/1000*(1-0.8527)</f>
        <v>5.796402299999999E-2</v>
      </c>
      <c r="U49" s="99">
        <v>39</v>
      </c>
      <c r="V49" s="109">
        <f>U49*U18/1000*0.8527</f>
        <v>0.33388321199999998</v>
      </c>
      <c r="W49" s="109">
        <f>U49*U18/1000*(1-0.8527)</f>
        <v>5.7676787999999993E-2</v>
      </c>
      <c r="X49" s="99">
        <v>39</v>
      </c>
      <c r="Y49" s="109">
        <f>X49*X18/1000*0.8527</f>
        <v>0.33388321199999998</v>
      </c>
      <c r="Z49" s="109">
        <f>X49*X18/1000*(1-0.8527)</f>
        <v>5.7676787999999993E-2</v>
      </c>
      <c r="AA49" s="99">
        <v>42</v>
      </c>
      <c r="AB49" s="109">
        <f>AA49*AA18/1000*0.8527</f>
        <v>0.35849213400000002</v>
      </c>
      <c r="AC49" s="109">
        <f>AA49*AA18/1000*(1-0.8527)</f>
        <v>6.1927865999999998E-2</v>
      </c>
      <c r="AD49" s="99">
        <v>42</v>
      </c>
      <c r="AE49" s="109">
        <f>AD49*AD18/1000*0.8527</f>
        <v>0.35849213400000002</v>
      </c>
      <c r="AF49" s="109">
        <f>AD49*AD18/1000*(1-0.8527)</f>
        <v>6.1927865999999998E-2</v>
      </c>
      <c r="AG49" s="99">
        <v>42</v>
      </c>
      <c r="AH49" s="109">
        <f>AG49*AG18/1000*0.8527</f>
        <v>0.35849213400000002</v>
      </c>
      <c r="AI49" s="109">
        <f>AG49*AG18/1000*(1-0.8527)</f>
        <v>6.1927865999999998E-2</v>
      </c>
      <c r="AJ49" s="99">
        <v>42</v>
      </c>
      <c r="AK49" s="109">
        <f>AJ49*AJ18/1000*0.8527</f>
        <v>0.35849213400000002</v>
      </c>
      <c r="AL49" s="109">
        <f>AJ49*AJ18/1000*(1-0.8527)</f>
        <v>6.1927865999999998E-2</v>
      </c>
      <c r="AM49" s="99">
        <v>42</v>
      </c>
      <c r="AN49" s="109">
        <f>AM49*AM18/1000*0.8527</f>
        <v>0.35849213400000002</v>
      </c>
      <c r="AO49" s="109">
        <f>AM49*AM18/1000*(1-0.8527)</f>
        <v>6.1927865999999998E-2</v>
      </c>
      <c r="AP49" s="99">
        <v>42</v>
      </c>
      <c r="AQ49" s="109">
        <f>AP49*AP18/1000*0.8527</f>
        <v>0.35849213400000002</v>
      </c>
      <c r="AR49" s="109">
        <f>AP49*AP18/1000*(1-0.8527)</f>
        <v>6.1927865999999998E-2</v>
      </c>
      <c r="AS49" s="99">
        <v>42</v>
      </c>
      <c r="AT49" s="109">
        <f>AS49*AS18/1000*0.8527</f>
        <v>0.35849213400000002</v>
      </c>
      <c r="AU49" s="109">
        <f>AS49*AS18/1000*(1-0.8527)</f>
        <v>6.1927865999999998E-2</v>
      </c>
      <c r="AV49" s="99">
        <v>42</v>
      </c>
      <c r="AW49" s="109">
        <f>AV49*AV18/1000*0.8527</f>
        <v>0.35849213400000002</v>
      </c>
      <c r="AX49" s="109">
        <f>AV49*AV18/1000*(1-0.8527)</f>
        <v>6.1927865999999998E-2</v>
      </c>
      <c r="AY49" s="99">
        <v>42</v>
      </c>
      <c r="AZ49" s="109">
        <f>AY49*AY18/1000*0.8527</f>
        <v>0.35849213400000002</v>
      </c>
      <c r="BA49" s="109">
        <f>AY49*AY18/1000*(1-0.8527)</f>
        <v>6.1927865999999998E-2</v>
      </c>
      <c r="BB49" s="99">
        <v>42</v>
      </c>
      <c r="BC49" s="109">
        <f>BB49*BB18/1000*0.8527</f>
        <v>0.35849213400000002</v>
      </c>
      <c r="BD49" s="109">
        <f>BB49*BB18/1000*(1-0.8527)</f>
        <v>6.1927865999999998E-2</v>
      </c>
      <c r="BE49" s="99">
        <v>42</v>
      </c>
      <c r="BF49" s="109">
        <f>BE49*BE18/1000*0.8527</f>
        <v>0.35849213400000002</v>
      </c>
      <c r="BG49" s="109">
        <f>BE49*BE18/1000*(1-0.8527)</f>
        <v>6.1927865999999998E-2</v>
      </c>
      <c r="BH49" s="99">
        <v>42</v>
      </c>
      <c r="BI49" s="109">
        <f>BH49*BH18/1000*0.8527</f>
        <v>0.35849213400000002</v>
      </c>
      <c r="BJ49" s="109">
        <f>BH49*BH18/1000*(1-0.8527)</f>
        <v>6.1927865999999998E-2</v>
      </c>
      <c r="BK49" s="99">
        <v>42</v>
      </c>
      <c r="BL49" s="109">
        <f>BK49*BK18/1000*0.8527</f>
        <v>0.35849213400000002</v>
      </c>
      <c r="BM49" s="109">
        <f>BK49*BK18/1000*(1-0.8527)</f>
        <v>6.1927865999999998E-2</v>
      </c>
      <c r="BN49" s="99">
        <v>42</v>
      </c>
      <c r="BO49" s="109">
        <f>BN49*BN18/1000*0.8527</f>
        <v>0.35849213400000002</v>
      </c>
      <c r="BP49" s="109">
        <f>BN49*BN18/1000*(1-0.8527)</f>
        <v>6.1927865999999998E-2</v>
      </c>
      <c r="BQ49" s="99">
        <v>42</v>
      </c>
      <c r="BR49" s="109">
        <f>BQ49*BQ18/1000*0.8527</f>
        <v>0.35849213400000002</v>
      </c>
      <c r="BS49" s="109">
        <f>BQ49*BQ18/1000*(1-0.8527)</f>
        <v>6.1927865999999998E-2</v>
      </c>
      <c r="BT49" s="99">
        <v>100</v>
      </c>
      <c r="BU49" s="109">
        <f>BT49*BT18/1000*0.8527</f>
        <v>0.85355269999999994</v>
      </c>
      <c r="BV49" s="109">
        <f>BT49*BT18/1000*(1-0.8527)</f>
        <v>0.14744729999999998</v>
      </c>
      <c r="BW49" s="99">
        <v>100</v>
      </c>
      <c r="BX49" s="109">
        <f>BW49*BW18/1000*0.8527</f>
        <v>0.85355269999999994</v>
      </c>
      <c r="BY49" s="109">
        <f>BW49*BW18/1000*(1-0.8527)</f>
        <v>0.14744729999999998</v>
      </c>
      <c r="BZ49" s="99">
        <v>100</v>
      </c>
      <c r="CA49" s="109">
        <f>BZ49*BZ18/1000*0.8527</f>
        <v>0.85355269999999994</v>
      </c>
      <c r="CB49" s="109">
        <f>BZ49*BZ18/1000*(1-0.8527)</f>
        <v>0.14744729999999998</v>
      </c>
    </row>
    <row r="50" spans="1:80" ht="49.5" customHeight="1" thickBot="1" x14ac:dyDescent="0.25">
      <c r="A50" s="1079"/>
      <c r="B50" s="53" t="s">
        <v>27</v>
      </c>
      <c r="C50" s="51" t="s">
        <v>50</v>
      </c>
      <c r="D50" s="52" t="s">
        <v>53</v>
      </c>
      <c r="E50" s="64" t="s">
        <v>124</v>
      </c>
      <c r="F50" s="138" t="s">
        <v>124</v>
      </c>
      <c r="G50" s="138" t="s">
        <v>124</v>
      </c>
      <c r="H50" s="139" t="s">
        <v>124</v>
      </c>
      <c r="I50" s="110">
        <v>15</v>
      </c>
      <c r="J50" s="111">
        <f>I50*I24/1000*(1-0.3044)</f>
        <v>0.10475735999999999</v>
      </c>
      <c r="K50" s="111">
        <f>I50*I24/1000*0.3044</f>
        <v>4.5842639999999997E-2</v>
      </c>
      <c r="L50" s="110">
        <v>15</v>
      </c>
      <c r="M50" s="111">
        <f>L50*L24/1000*(1-0.3044)</f>
        <v>0.10475735999999999</v>
      </c>
      <c r="N50" s="112">
        <f>L50*L24/1000*0.3044</f>
        <v>4.5842639999999997E-2</v>
      </c>
      <c r="O50" s="69">
        <v>18</v>
      </c>
      <c r="P50" s="111">
        <f>O50*O24/1000*(1-0.3044)</f>
        <v>0.12570883199999996</v>
      </c>
      <c r="Q50" s="112">
        <f>O50*O24/1000*0.3044</f>
        <v>5.5011167999999992E-2</v>
      </c>
      <c r="R50" s="69">
        <v>15</v>
      </c>
      <c r="S50" s="111">
        <f>R50*R24/1000*(1-0.3044)</f>
        <v>0.10475735999999999</v>
      </c>
      <c r="T50" s="112">
        <f>R50*R24/1000*0.3044</f>
        <v>4.5842639999999997E-2</v>
      </c>
      <c r="U50" s="69">
        <v>15</v>
      </c>
      <c r="V50" s="111">
        <f>U50*U24/1000*(1-0.3044)</f>
        <v>0.10475735999999999</v>
      </c>
      <c r="W50" s="112">
        <f>U50*U24/1000*0.3044</f>
        <v>4.5842639999999997E-2</v>
      </c>
      <c r="X50" s="69">
        <v>15</v>
      </c>
      <c r="Y50" s="111">
        <f>X50*X24/1000*(1-0.3044)</f>
        <v>0.10475735999999999</v>
      </c>
      <c r="Z50" s="112">
        <f>X50*X24/1000*0.3044</f>
        <v>4.5842639999999997E-2</v>
      </c>
      <c r="AA50" s="69">
        <v>72</v>
      </c>
      <c r="AB50" s="111">
        <f>AA50*AA24/1000*(1-0.3044)</f>
        <v>0.50283532799999986</v>
      </c>
      <c r="AC50" s="112">
        <f>AA50*AA24/1000*0.3044</f>
        <v>0.22004467199999997</v>
      </c>
      <c r="AD50" s="69">
        <v>72</v>
      </c>
      <c r="AE50" s="111">
        <f>AD50*AD24/1000*(1-0.3044)</f>
        <v>0.50283532799999986</v>
      </c>
      <c r="AF50" s="112">
        <f>AD50*AD24/1000*0.3044</f>
        <v>0.22004467199999997</v>
      </c>
      <c r="AG50" s="69">
        <v>72</v>
      </c>
      <c r="AH50" s="111">
        <f>AG50*AG24/1000*(1-0.3044)</f>
        <v>0.50283532799999986</v>
      </c>
      <c r="AI50" s="112">
        <f>AG50*AG24/1000*0.3044</f>
        <v>0.22004467199999997</v>
      </c>
      <c r="AJ50" s="69">
        <v>72</v>
      </c>
      <c r="AK50" s="111">
        <f>AJ50*AJ24/1000*(1-0.3044)</f>
        <v>0.50283532799999986</v>
      </c>
      <c r="AL50" s="112">
        <f>AJ50*AJ24/1000*0.3044</f>
        <v>0.22004467199999997</v>
      </c>
      <c r="AM50" s="69">
        <v>72</v>
      </c>
      <c r="AN50" s="111">
        <f>AM50*AM24/1000*(1-0.3044)</f>
        <v>0.50283532799999986</v>
      </c>
      <c r="AO50" s="112">
        <f>AM50*AM24/1000*0.3044</f>
        <v>0.22004467199999997</v>
      </c>
      <c r="AP50" s="69">
        <v>72</v>
      </c>
      <c r="AQ50" s="111">
        <f>AP50*AP24/1000*(1-0.3044)</f>
        <v>0.50283532799999986</v>
      </c>
      <c r="AR50" s="112">
        <f>AP50*AP24/1000*0.3044</f>
        <v>0.22004467199999997</v>
      </c>
      <c r="AS50" s="69">
        <v>72</v>
      </c>
      <c r="AT50" s="111">
        <f>AS50*AS24/1000*(1-0.3044)</f>
        <v>0.50283532799999986</v>
      </c>
      <c r="AU50" s="112">
        <f>AS50*AS24/1000*0.3044</f>
        <v>0.22004467199999997</v>
      </c>
      <c r="AV50" s="69">
        <v>72</v>
      </c>
      <c r="AW50" s="111">
        <f>AV50*AV24/1000*(1-0.3044)</f>
        <v>0.50283532799999986</v>
      </c>
      <c r="AX50" s="112">
        <f>AV50*AV24/1000*0.3044</f>
        <v>0.22004467199999997</v>
      </c>
      <c r="AY50" s="69">
        <v>72</v>
      </c>
      <c r="AZ50" s="111">
        <f>AY50*AY24/1000*(1-0.3044)</f>
        <v>0.50283532799999986</v>
      </c>
      <c r="BA50" s="112">
        <f>AY50*AY24/1000*0.3044</f>
        <v>0.22004467199999997</v>
      </c>
      <c r="BB50" s="69">
        <v>72</v>
      </c>
      <c r="BC50" s="111">
        <f>BB50*BB24/1000*(1-0.3044)</f>
        <v>0.50283532799999986</v>
      </c>
      <c r="BD50" s="112">
        <f>BB50*BB24/1000*0.3044</f>
        <v>0.22004467199999997</v>
      </c>
      <c r="BE50" s="69">
        <v>72</v>
      </c>
      <c r="BF50" s="111">
        <f>BE50*BE24/1000*(1-0.3044)</f>
        <v>0.50283532799999986</v>
      </c>
      <c r="BG50" s="112">
        <f>BE50*BE24/1000*0.3044</f>
        <v>0.22004467199999997</v>
      </c>
      <c r="BH50" s="69">
        <v>72</v>
      </c>
      <c r="BI50" s="111">
        <f>BH50*BH24/1000*(1-0.3044)</f>
        <v>0.50283532799999986</v>
      </c>
      <c r="BJ50" s="112">
        <f>BH50*BH24/1000*0.3044</f>
        <v>0.22004467199999997</v>
      </c>
      <c r="BK50" s="69">
        <v>72</v>
      </c>
      <c r="BL50" s="111">
        <f>BK50*BK24/1000*(1-0.3044)</f>
        <v>0.50283532799999986</v>
      </c>
      <c r="BM50" s="112">
        <f>BK50*BK24/1000*0.3044</f>
        <v>0.22004467199999997</v>
      </c>
      <c r="BN50" s="69">
        <v>72</v>
      </c>
      <c r="BO50" s="111">
        <f>BN50*BN24/1000*(1-0.3044)</f>
        <v>0.50283532799999986</v>
      </c>
      <c r="BP50" s="112">
        <f>BN50*BN24/1000*0.3044</f>
        <v>0.22004467199999997</v>
      </c>
      <c r="BQ50" s="69">
        <v>72</v>
      </c>
      <c r="BR50" s="111">
        <f>BQ50*BQ24/1000*(1-0.3044)</f>
        <v>0.50283532799999986</v>
      </c>
      <c r="BS50" s="112">
        <f>BQ50*BQ24/1000*0.3044</f>
        <v>0.22004467199999997</v>
      </c>
      <c r="BT50" s="69">
        <v>120</v>
      </c>
      <c r="BU50" s="111">
        <f>BT50*BT24/1000*(1-0.3044)</f>
        <v>0.83805887999999995</v>
      </c>
      <c r="BV50" s="112">
        <f>BT50*BT24/1000*0.3044</f>
        <v>0.36674111999999998</v>
      </c>
      <c r="BW50" s="69">
        <v>120</v>
      </c>
      <c r="BX50" s="111">
        <f>BW50*BW24/1000*(1-0.3044)</f>
        <v>0.83805887999999995</v>
      </c>
      <c r="BY50" s="112">
        <f>BW50*BW24/1000*0.3044</f>
        <v>0.36674111999999998</v>
      </c>
      <c r="BZ50" s="69">
        <v>120</v>
      </c>
      <c r="CA50" s="111">
        <f>BZ50*BZ24/1000*(1-0.3044)</f>
        <v>0.83805887999999995</v>
      </c>
      <c r="CB50" s="112">
        <f>BZ50*BZ24/1000*0.3044</f>
        <v>0.36674111999999998</v>
      </c>
    </row>
    <row r="51" spans="1:80" ht="16.5" customHeight="1" x14ac:dyDescent="0.25">
      <c r="A51" s="1070" t="s">
        <v>28</v>
      </c>
      <c r="B51" s="1018"/>
      <c r="C51" s="1018"/>
      <c r="D51" s="1018"/>
      <c r="E51" s="1026" t="s">
        <v>126</v>
      </c>
      <c r="F51" s="1027"/>
      <c r="G51" s="1027"/>
      <c r="H51" s="1027"/>
      <c r="I51" s="1027"/>
      <c r="J51" s="1027"/>
      <c r="K51" s="1027"/>
      <c r="L51" s="1027"/>
      <c r="M51" s="1027"/>
      <c r="N51" s="1027"/>
      <c r="O51" s="1027"/>
      <c r="P51" s="1027"/>
      <c r="Q51" s="1027"/>
      <c r="R51" s="1027"/>
      <c r="S51" s="1027"/>
      <c r="T51" s="1028"/>
      <c r="U51" s="1"/>
    </row>
    <row r="52" spans="1:80" ht="15" x14ac:dyDescent="0.25">
      <c r="A52" s="1070"/>
      <c r="B52" s="1018"/>
      <c r="C52" s="1018"/>
      <c r="D52" s="1018"/>
      <c r="E52" s="1026"/>
      <c r="F52" s="1027"/>
      <c r="G52" s="1027"/>
      <c r="H52" s="1027"/>
      <c r="I52" s="1027"/>
      <c r="J52" s="1027"/>
      <c r="K52" s="1027"/>
      <c r="L52" s="1027"/>
      <c r="M52" s="1027"/>
      <c r="N52" s="1027"/>
      <c r="O52" s="1027"/>
      <c r="P52" s="1027"/>
      <c r="Q52" s="1027"/>
      <c r="R52" s="1027"/>
      <c r="S52" s="1027"/>
      <c r="T52" s="1028"/>
      <c r="U52" s="1"/>
    </row>
    <row r="53" spans="1:80" ht="15.75" thickBot="1" x14ac:dyDescent="0.3">
      <c r="A53" s="1051"/>
      <c r="B53" s="1019"/>
      <c r="C53" s="1019"/>
      <c r="D53" s="1019"/>
      <c r="E53" s="1029"/>
      <c r="F53" s="1030"/>
      <c r="G53" s="1030"/>
      <c r="H53" s="1030"/>
      <c r="I53" s="1030"/>
      <c r="J53" s="1030"/>
      <c r="K53" s="1030"/>
      <c r="L53" s="1030"/>
      <c r="M53" s="1030"/>
      <c r="N53" s="1030"/>
      <c r="O53" s="1030"/>
      <c r="P53" s="1030"/>
      <c r="Q53" s="1030"/>
      <c r="R53" s="1030"/>
      <c r="S53" s="1030"/>
      <c r="T53" s="1031"/>
      <c r="U53" s="1"/>
    </row>
    <row r="54" spans="1:80" ht="13.5" customHeight="1" x14ac:dyDescent="0.25">
      <c r="U54" s="1"/>
    </row>
    <row r="55" spans="1:80" ht="12.75" hidden="1" customHeight="1" x14ac:dyDescent="0.25">
      <c r="U55" s="1"/>
    </row>
    <row r="56" spans="1:80" ht="15" x14ac:dyDescent="0.25">
      <c r="U56" s="1"/>
    </row>
    <row r="57" spans="1:80" ht="15" x14ac:dyDescent="0.25">
      <c r="U57" s="1"/>
    </row>
    <row r="58" spans="1:80" ht="15" x14ac:dyDescent="0.25">
      <c r="U58" s="1"/>
    </row>
    <row r="59" spans="1:80" ht="12" customHeight="1" x14ac:dyDescent="0.25">
      <c r="A59" s="3"/>
      <c r="B59" s="4"/>
      <c r="C59" s="5"/>
      <c r="D59" s="3"/>
      <c r="U59" s="1"/>
    </row>
    <row r="60" spans="1:80" ht="15" x14ac:dyDescent="0.25">
      <c r="U60" s="1"/>
    </row>
    <row r="61" spans="1:80" ht="13.5" customHeight="1" x14ac:dyDescent="0.25">
      <c r="U61" s="1"/>
    </row>
    <row r="62" spans="1:80" ht="15" hidden="1" x14ac:dyDescent="0.25">
      <c r="U62" s="1"/>
    </row>
    <row r="63" spans="1:80" ht="15" hidden="1" x14ac:dyDescent="0.25">
      <c r="U63" s="1"/>
    </row>
    <row r="64" spans="1:80" ht="15.75" hidden="1" customHeight="1" thickBot="1" x14ac:dyDescent="0.3">
      <c r="U64" s="1"/>
    </row>
    <row r="65" spans="1:21" ht="15" hidden="1" x14ac:dyDescent="0.25">
      <c r="U65" s="1"/>
    </row>
    <row r="66" spans="1:21" ht="15" x14ac:dyDescent="0.25">
      <c r="U66" s="1"/>
    </row>
    <row r="67" spans="1:21" ht="15" x14ac:dyDescent="0.25">
      <c r="U67" s="1"/>
    </row>
    <row r="68" spans="1:21" ht="15" x14ac:dyDescent="0.25">
      <c r="U68" s="1"/>
    </row>
    <row r="69" spans="1:21" s="3" customForma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1" s="3" customForma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</sheetData>
  <mergeCells count="644">
    <mergeCell ref="A51:D53"/>
    <mergeCell ref="E51:T53"/>
    <mergeCell ref="Q46:Q47"/>
    <mergeCell ref="R46:R47"/>
    <mergeCell ref="S46:S47"/>
    <mergeCell ref="T46:T47"/>
    <mergeCell ref="A48:A50"/>
    <mergeCell ref="B48:B49"/>
    <mergeCell ref="K46:K47"/>
    <mergeCell ref="L46:L47"/>
    <mergeCell ref="M46:M47"/>
    <mergeCell ref="N46:N47"/>
    <mergeCell ref="O46:O47"/>
    <mergeCell ref="P46:P47"/>
    <mergeCell ref="A45:H45"/>
    <mergeCell ref="I45:K45"/>
    <mergeCell ref="L45:N45"/>
    <mergeCell ref="O45:Q45"/>
    <mergeCell ref="R45:T45"/>
    <mergeCell ref="A46:D47"/>
    <mergeCell ref="E46:F46"/>
    <mergeCell ref="G46:H46"/>
    <mergeCell ref="I46:I47"/>
    <mergeCell ref="J46:J47"/>
    <mergeCell ref="A43:D43"/>
    <mergeCell ref="E43:G43"/>
    <mergeCell ref="N43:O43"/>
    <mergeCell ref="Q43:R43"/>
    <mergeCell ref="F44:G44"/>
    <mergeCell ref="N44:O44"/>
    <mergeCell ref="Q44:R44"/>
    <mergeCell ref="A41:D41"/>
    <mergeCell ref="E41:G41"/>
    <mergeCell ref="N41:O41"/>
    <mergeCell ref="Q41:R41"/>
    <mergeCell ref="A42:D42"/>
    <mergeCell ref="E42:G42"/>
    <mergeCell ref="N42:O42"/>
    <mergeCell ref="Q42:R42"/>
    <mergeCell ref="A38:D39"/>
    <mergeCell ref="E38:H38"/>
    <mergeCell ref="E39:H39"/>
    <mergeCell ref="F40:G40"/>
    <mergeCell ref="N40:O40"/>
    <mergeCell ref="Q40:R40"/>
    <mergeCell ref="T32:T34"/>
    <mergeCell ref="E35:F37"/>
    <mergeCell ref="G35:H37"/>
    <mergeCell ref="I35:K37"/>
    <mergeCell ref="L35:N37"/>
    <mergeCell ref="O35:Q37"/>
    <mergeCell ref="R35:T37"/>
    <mergeCell ref="N32:N34"/>
    <mergeCell ref="O32:O34"/>
    <mergeCell ref="P32:P34"/>
    <mergeCell ref="Q32:Q34"/>
    <mergeCell ref="R32:R34"/>
    <mergeCell ref="S32:S34"/>
    <mergeCell ref="L26:L28"/>
    <mergeCell ref="M26:M28"/>
    <mergeCell ref="N26:N28"/>
    <mergeCell ref="O26:O28"/>
    <mergeCell ref="R29:T31"/>
    <mergeCell ref="A32:C37"/>
    <mergeCell ref="D32:D37"/>
    <mergeCell ref="E32:F34"/>
    <mergeCell ref="G32:H34"/>
    <mergeCell ref="I32:I34"/>
    <mergeCell ref="J32:J34"/>
    <mergeCell ref="K32:K34"/>
    <mergeCell ref="L32:L34"/>
    <mergeCell ref="M32:M34"/>
    <mergeCell ref="E25:H25"/>
    <mergeCell ref="I25:K25"/>
    <mergeCell ref="L25:N25"/>
    <mergeCell ref="O25:Q25"/>
    <mergeCell ref="R25:T25"/>
    <mergeCell ref="A26:C31"/>
    <mergeCell ref="D26:D31"/>
    <mergeCell ref="E26:F28"/>
    <mergeCell ref="G26:H28"/>
    <mergeCell ref="I26:I28"/>
    <mergeCell ref="A20:C25"/>
    <mergeCell ref="D20:D25"/>
    <mergeCell ref="P26:P28"/>
    <mergeCell ref="Q26:Q28"/>
    <mergeCell ref="R26:R28"/>
    <mergeCell ref="S26:S28"/>
    <mergeCell ref="T26:T28"/>
    <mergeCell ref="E29:F31"/>
    <mergeCell ref="G29:H31"/>
    <mergeCell ref="I29:K31"/>
    <mergeCell ref="L29:N31"/>
    <mergeCell ref="O29:Q31"/>
    <mergeCell ref="J26:J28"/>
    <mergeCell ref="K26:K28"/>
    <mergeCell ref="R24:T24"/>
    <mergeCell ref="E23:F24"/>
    <mergeCell ref="G23:H23"/>
    <mergeCell ref="I23:K23"/>
    <mergeCell ref="L23:N23"/>
    <mergeCell ref="O23:Q23"/>
    <mergeCell ref="R23:T23"/>
    <mergeCell ref="G24:H24"/>
    <mergeCell ref="I24:K24"/>
    <mergeCell ref="L24:N24"/>
    <mergeCell ref="O24:Q24"/>
    <mergeCell ref="E22:H22"/>
    <mergeCell ref="I22:K22"/>
    <mergeCell ref="L22:N22"/>
    <mergeCell ref="O22:Q22"/>
    <mergeCell ref="R22:T22"/>
    <mergeCell ref="E19:H19"/>
    <mergeCell ref="I19:K19"/>
    <mergeCell ref="L19:N19"/>
    <mergeCell ref="O19:Q19"/>
    <mergeCell ref="R19:T19"/>
    <mergeCell ref="E20:F21"/>
    <mergeCell ref="G20:H20"/>
    <mergeCell ref="G21:H21"/>
    <mergeCell ref="O17:Q17"/>
    <mergeCell ref="R17:T17"/>
    <mergeCell ref="R12:R13"/>
    <mergeCell ref="S12:S13"/>
    <mergeCell ref="T12:T13"/>
    <mergeCell ref="O12:O13"/>
    <mergeCell ref="P12:P13"/>
    <mergeCell ref="Q12:Q13"/>
    <mergeCell ref="G18:H18"/>
    <mergeCell ref="I18:K18"/>
    <mergeCell ref="L18:N18"/>
    <mergeCell ref="O18:Q18"/>
    <mergeCell ref="R18:T18"/>
    <mergeCell ref="I16:K16"/>
    <mergeCell ref="L16:N16"/>
    <mergeCell ref="O16:Q16"/>
    <mergeCell ref="R16:T16"/>
    <mergeCell ref="A14:C19"/>
    <mergeCell ref="D14:D19"/>
    <mergeCell ref="E14:F15"/>
    <mergeCell ref="G14:H14"/>
    <mergeCell ref="G15:H15"/>
    <mergeCell ref="E16:H16"/>
    <mergeCell ref="L12:L13"/>
    <mergeCell ref="M12:M13"/>
    <mergeCell ref="N12:N13"/>
    <mergeCell ref="A12:C13"/>
    <mergeCell ref="D12:D13"/>
    <mergeCell ref="E12:H13"/>
    <mergeCell ref="I12:I13"/>
    <mergeCell ref="J12:J13"/>
    <mergeCell ref="K12:K13"/>
    <mergeCell ref="E17:F18"/>
    <mergeCell ref="G17:H17"/>
    <mergeCell ref="I17:K17"/>
    <mergeCell ref="L17:N17"/>
    <mergeCell ref="Q7:T7"/>
    <mergeCell ref="Q8:T8"/>
    <mergeCell ref="A9:T10"/>
    <mergeCell ref="A11:H11"/>
    <mergeCell ref="I11:K11"/>
    <mergeCell ref="L11:N11"/>
    <mergeCell ref="O11:Q11"/>
    <mergeCell ref="R11:T11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AV11:AX11"/>
    <mergeCell ref="AY11:BA11"/>
    <mergeCell ref="BB11:BD11"/>
    <mergeCell ref="BE11:BG11"/>
    <mergeCell ref="BH11:BJ11"/>
    <mergeCell ref="BK11:BM11"/>
    <mergeCell ref="BN11:BP11"/>
    <mergeCell ref="BQ11:BS11"/>
    <mergeCell ref="BT11:BV11"/>
    <mergeCell ref="BW11:BY11"/>
    <mergeCell ref="BZ11:CB11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AS12:AS13"/>
    <mergeCell ref="AT12:AT13"/>
    <mergeCell ref="AU12:AU13"/>
    <mergeCell ref="AV12:AV13"/>
    <mergeCell ref="AW12:AW13"/>
    <mergeCell ref="AX12:AX13"/>
    <mergeCell ref="AY12:AY13"/>
    <mergeCell ref="AZ12:AZ13"/>
    <mergeCell ref="BA12:BA13"/>
    <mergeCell ref="BB12:BB13"/>
    <mergeCell ref="BC12:BC13"/>
    <mergeCell ref="BD12:BD13"/>
    <mergeCell ref="BE12:BE13"/>
    <mergeCell ref="BF12:BF13"/>
    <mergeCell ref="BG12:BG13"/>
    <mergeCell ref="BH12:BH13"/>
    <mergeCell ref="BI12:BI13"/>
    <mergeCell ref="BV12:BV13"/>
    <mergeCell ref="BW12:BW13"/>
    <mergeCell ref="BX12:BX13"/>
    <mergeCell ref="BY12:BY13"/>
    <mergeCell ref="BZ12:BZ13"/>
    <mergeCell ref="CA12:CA13"/>
    <mergeCell ref="BJ12:BJ13"/>
    <mergeCell ref="BK12:BK13"/>
    <mergeCell ref="BL12:BL13"/>
    <mergeCell ref="BM12:BM13"/>
    <mergeCell ref="BN12:BN13"/>
    <mergeCell ref="BO12:BO13"/>
    <mergeCell ref="BP12:BP13"/>
    <mergeCell ref="BQ12:BQ13"/>
    <mergeCell ref="BR12:BR13"/>
    <mergeCell ref="CB12:CB13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AV16:AX16"/>
    <mergeCell ref="AY16:BA16"/>
    <mergeCell ref="BB16:BD16"/>
    <mergeCell ref="BE16:BG16"/>
    <mergeCell ref="BH16:BJ16"/>
    <mergeCell ref="BK16:BM16"/>
    <mergeCell ref="BN16:BP16"/>
    <mergeCell ref="BQ16:BS16"/>
    <mergeCell ref="BT16:BV16"/>
    <mergeCell ref="BW16:BY16"/>
    <mergeCell ref="BZ16:CB16"/>
    <mergeCell ref="BS12:BS13"/>
    <mergeCell ref="BT12:BT13"/>
    <mergeCell ref="BU12:BU13"/>
    <mergeCell ref="BB17:BD17"/>
    <mergeCell ref="BE17:BG17"/>
    <mergeCell ref="BH17:BJ17"/>
    <mergeCell ref="BK17:BM17"/>
    <mergeCell ref="BN17:BP17"/>
    <mergeCell ref="BQ17:BS17"/>
    <mergeCell ref="BT17:BV17"/>
    <mergeCell ref="U17:W17"/>
    <mergeCell ref="X17:Z17"/>
    <mergeCell ref="AA17:AC17"/>
    <mergeCell ref="AD17:AF17"/>
    <mergeCell ref="AG17:AI17"/>
    <mergeCell ref="AJ17:AL17"/>
    <mergeCell ref="AM17:AO17"/>
    <mergeCell ref="AP17:AR17"/>
    <mergeCell ref="AS17:AU17"/>
    <mergeCell ref="BW17:BY17"/>
    <mergeCell ref="BZ17:CB17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AY18:BA18"/>
    <mergeCell ref="BB18:BD18"/>
    <mergeCell ref="BE18:BG18"/>
    <mergeCell ref="BH18:BJ18"/>
    <mergeCell ref="BK18:BM18"/>
    <mergeCell ref="BN18:BP18"/>
    <mergeCell ref="BQ18:BS18"/>
    <mergeCell ref="BT18:BV18"/>
    <mergeCell ref="BW18:BY18"/>
    <mergeCell ref="BZ18:CB18"/>
    <mergeCell ref="AV17:AX17"/>
    <mergeCell ref="AY17:BA17"/>
    <mergeCell ref="BB19:BD19"/>
    <mergeCell ref="BE19:BG19"/>
    <mergeCell ref="BH19:BJ19"/>
    <mergeCell ref="BK19:BM19"/>
    <mergeCell ref="BN19:BP19"/>
    <mergeCell ref="BQ19:BS19"/>
    <mergeCell ref="BT19:BV19"/>
    <mergeCell ref="U19:W19"/>
    <mergeCell ref="X19:Z19"/>
    <mergeCell ref="AA19:AC19"/>
    <mergeCell ref="AD19:AF19"/>
    <mergeCell ref="AG19:AI19"/>
    <mergeCell ref="AJ19:AL19"/>
    <mergeCell ref="AM19:AO19"/>
    <mergeCell ref="AP19:AR19"/>
    <mergeCell ref="AS19:AU19"/>
    <mergeCell ref="BW19:BY19"/>
    <mergeCell ref="BZ19:CB19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AY22:BA22"/>
    <mergeCell ref="BB22:BD22"/>
    <mergeCell ref="BE22:BG22"/>
    <mergeCell ref="BH22:BJ22"/>
    <mergeCell ref="BK22:BM22"/>
    <mergeCell ref="BN22:BP22"/>
    <mergeCell ref="BQ22:BS22"/>
    <mergeCell ref="BT22:BV22"/>
    <mergeCell ref="BW22:BY22"/>
    <mergeCell ref="BZ22:CB22"/>
    <mergeCell ref="AV19:AX19"/>
    <mergeCell ref="AY19:BA19"/>
    <mergeCell ref="BB23:BD23"/>
    <mergeCell ref="BE23:BG23"/>
    <mergeCell ref="BH23:BJ23"/>
    <mergeCell ref="BK23:BM23"/>
    <mergeCell ref="BN23:BP23"/>
    <mergeCell ref="BQ23:BS23"/>
    <mergeCell ref="BT23:BV23"/>
    <mergeCell ref="U23:W23"/>
    <mergeCell ref="X23:Z23"/>
    <mergeCell ref="AA23:AC23"/>
    <mergeCell ref="AD23:AF23"/>
    <mergeCell ref="AG23:AI23"/>
    <mergeCell ref="AJ23:AL23"/>
    <mergeCell ref="AM23:AO23"/>
    <mergeCell ref="AP23:AR23"/>
    <mergeCell ref="AS23:AU23"/>
    <mergeCell ref="BW23:BY23"/>
    <mergeCell ref="BZ23:CB23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BE24:BG24"/>
    <mergeCell ref="BH24:BJ24"/>
    <mergeCell ref="BK24:BM24"/>
    <mergeCell ref="BN24:BP24"/>
    <mergeCell ref="BQ24:BS24"/>
    <mergeCell ref="BT24:BV24"/>
    <mergeCell ref="BW24:BY24"/>
    <mergeCell ref="BZ24:CB24"/>
    <mergeCell ref="AV23:AX23"/>
    <mergeCell ref="AY23:BA23"/>
    <mergeCell ref="U25:W25"/>
    <mergeCell ref="X25:Z25"/>
    <mergeCell ref="AA25:AC25"/>
    <mergeCell ref="AD25:AF25"/>
    <mergeCell ref="AG25:AI25"/>
    <mergeCell ref="AJ25:AL25"/>
    <mergeCell ref="AM25:AO25"/>
    <mergeCell ref="AP25:AR25"/>
    <mergeCell ref="AS25:AU25"/>
    <mergeCell ref="AV25:AX25"/>
    <mergeCell ref="AY25:BA25"/>
    <mergeCell ref="BB25:BD25"/>
    <mergeCell ref="BE25:BG25"/>
    <mergeCell ref="BH25:BJ25"/>
    <mergeCell ref="BK25:BM25"/>
    <mergeCell ref="BN25:BP25"/>
    <mergeCell ref="BQ25:BS25"/>
    <mergeCell ref="BT25:BV25"/>
    <mergeCell ref="BW25:BY25"/>
    <mergeCell ref="BZ25:CB25"/>
    <mergeCell ref="U26:U28"/>
    <mergeCell ref="V26:V28"/>
    <mergeCell ref="W26:W28"/>
    <mergeCell ref="X26:X28"/>
    <mergeCell ref="Y26:Y28"/>
    <mergeCell ref="Z26:Z28"/>
    <mergeCell ref="AA26:AA28"/>
    <mergeCell ref="AB26:AB28"/>
    <mergeCell ref="AC26:AC28"/>
    <mergeCell ref="AD26:AD28"/>
    <mergeCell ref="AE26:AE28"/>
    <mergeCell ref="AF26:AF28"/>
    <mergeCell ref="AG26:AG28"/>
    <mergeCell ref="AH26:AH28"/>
    <mergeCell ref="AI26:AI28"/>
    <mergeCell ref="AJ26:AJ28"/>
    <mergeCell ref="AK26:AK28"/>
    <mergeCell ref="AL26:AL28"/>
    <mergeCell ref="AM26:AM28"/>
    <mergeCell ref="AN26:AN28"/>
    <mergeCell ref="AO26:AO28"/>
    <mergeCell ref="AP26:AP28"/>
    <mergeCell ref="AQ26:AQ28"/>
    <mergeCell ref="AR26:AR28"/>
    <mergeCell ref="AS26:AS28"/>
    <mergeCell ref="AT26:AT28"/>
    <mergeCell ref="AU26:AU28"/>
    <mergeCell ref="AV26:AV28"/>
    <mergeCell ref="AW26:AW28"/>
    <mergeCell ref="AX26:AX28"/>
    <mergeCell ref="AY26:AY28"/>
    <mergeCell ref="AZ26:AZ28"/>
    <mergeCell ref="BA26:BA28"/>
    <mergeCell ref="BB26:BB28"/>
    <mergeCell ref="BC26:BC28"/>
    <mergeCell ref="BD26:BD28"/>
    <mergeCell ref="BE26:BE28"/>
    <mergeCell ref="BF26:BF28"/>
    <mergeCell ref="BG26:BG28"/>
    <mergeCell ref="BH26:BH28"/>
    <mergeCell ref="BT26:BT28"/>
    <mergeCell ref="BU26:BU28"/>
    <mergeCell ref="BV26:BV28"/>
    <mergeCell ref="BW26:BW28"/>
    <mergeCell ref="BX26:BX28"/>
    <mergeCell ref="BY26:BY28"/>
    <mergeCell ref="BZ26:BZ28"/>
    <mergeCell ref="BI26:BI28"/>
    <mergeCell ref="BJ26:BJ28"/>
    <mergeCell ref="BK26:BK28"/>
    <mergeCell ref="BL26:BL28"/>
    <mergeCell ref="BM26:BM28"/>
    <mergeCell ref="BN26:BN28"/>
    <mergeCell ref="BO26:BO28"/>
    <mergeCell ref="BP26:BP28"/>
    <mergeCell ref="BQ26:BQ28"/>
    <mergeCell ref="CA26:CA28"/>
    <mergeCell ref="CB26:CB28"/>
    <mergeCell ref="U29:W31"/>
    <mergeCell ref="X29:Z31"/>
    <mergeCell ref="AA29:AC31"/>
    <mergeCell ref="AD29:AF31"/>
    <mergeCell ref="AG29:AI31"/>
    <mergeCell ref="AJ29:AL31"/>
    <mergeCell ref="AM29:AO31"/>
    <mergeCell ref="AP29:AR31"/>
    <mergeCell ref="AS29:AU31"/>
    <mergeCell ref="AV29:AX31"/>
    <mergeCell ref="AY29:BA31"/>
    <mergeCell ref="BB29:BD31"/>
    <mergeCell ref="BE29:BG31"/>
    <mergeCell ref="BH29:BJ31"/>
    <mergeCell ref="BK29:BM31"/>
    <mergeCell ref="BN29:BP31"/>
    <mergeCell ref="BQ29:BS31"/>
    <mergeCell ref="BT29:BV31"/>
    <mergeCell ref="BW29:BY31"/>
    <mergeCell ref="BZ29:CB31"/>
    <mergeCell ref="BR26:BR28"/>
    <mergeCell ref="BS26:BS28"/>
    <mergeCell ref="U32:U34"/>
    <mergeCell ref="V32:V34"/>
    <mergeCell ref="W32:W34"/>
    <mergeCell ref="X32:X34"/>
    <mergeCell ref="Y32:Y34"/>
    <mergeCell ref="Z32:Z34"/>
    <mergeCell ref="AA32:AA34"/>
    <mergeCell ref="AB32:AB34"/>
    <mergeCell ref="AC32:AC34"/>
    <mergeCell ref="AD32:AD34"/>
    <mergeCell ref="AE32:AE34"/>
    <mergeCell ref="AF32:AF34"/>
    <mergeCell ref="AG32:AG34"/>
    <mergeCell ref="AH32:AH34"/>
    <mergeCell ref="AI32:AI34"/>
    <mergeCell ref="AJ32:AJ34"/>
    <mergeCell ref="AK32:AK34"/>
    <mergeCell ref="AL32:AL34"/>
    <mergeCell ref="AM32:AM34"/>
    <mergeCell ref="AN32:AN34"/>
    <mergeCell ref="AO32:AO34"/>
    <mergeCell ref="AP32:AP34"/>
    <mergeCell ref="AQ32:AQ34"/>
    <mergeCell ref="AR32:AR34"/>
    <mergeCell ref="AS32:AS34"/>
    <mergeCell ref="AT32:AT34"/>
    <mergeCell ref="AU32:AU34"/>
    <mergeCell ref="AV32:AV34"/>
    <mergeCell ref="AW32:AW34"/>
    <mergeCell ref="AX32:AX34"/>
    <mergeCell ref="AY32:AY34"/>
    <mergeCell ref="AZ32:AZ34"/>
    <mergeCell ref="BA32:BA34"/>
    <mergeCell ref="BB32:BB34"/>
    <mergeCell ref="BC32:BC34"/>
    <mergeCell ref="BD32:BD34"/>
    <mergeCell ref="BE32:BE34"/>
    <mergeCell ref="BF32:BF34"/>
    <mergeCell ref="BG32:BG34"/>
    <mergeCell ref="BH32:BH34"/>
    <mergeCell ref="BI32:BI34"/>
    <mergeCell ref="BJ32:BJ34"/>
    <mergeCell ref="BK32:BK34"/>
    <mergeCell ref="BL32:BL34"/>
    <mergeCell ref="BM32:BM34"/>
    <mergeCell ref="BN32:BN34"/>
    <mergeCell ref="BO32:BO34"/>
    <mergeCell ref="BP32:BP34"/>
    <mergeCell ref="BQ32:BQ34"/>
    <mergeCell ref="BR32:BR34"/>
    <mergeCell ref="BS32:BS34"/>
    <mergeCell ref="BT32:BT34"/>
    <mergeCell ref="BU32:BU34"/>
    <mergeCell ref="BV32:BV34"/>
    <mergeCell ref="BW32:BW34"/>
    <mergeCell ref="BX32:BX34"/>
    <mergeCell ref="BY32:BY34"/>
    <mergeCell ref="BZ32:BZ34"/>
    <mergeCell ref="CA32:CA34"/>
    <mergeCell ref="CB32:CB34"/>
    <mergeCell ref="U35:W37"/>
    <mergeCell ref="X35:Z37"/>
    <mergeCell ref="AA35:AC37"/>
    <mergeCell ref="AD35:AF37"/>
    <mergeCell ref="AG35:AI37"/>
    <mergeCell ref="AJ35:AL37"/>
    <mergeCell ref="AM35:AO37"/>
    <mergeCell ref="AP35:AR37"/>
    <mergeCell ref="AS35:AU37"/>
    <mergeCell ref="AV35:AX37"/>
    <mergeCell ref="AY35:BA37"/>
    <mergeCell ref="BB35:BD37"/>
    <mergeCell ref="BE35:BG37"/>
    <mergeCell ref="BH35:BJ37"/>
    <mergeCell ref="BK35:BM37"/>
    <mergeCell ref="BN35:BP37"/>
    <mergeCell ref="BQ35:BS37"/>
    <mergeCell ref="BT35:BV37"/>
    <mergeCell ref="BW35:BY37"/>
    <mergeCell ref="BZ35:CB37"/>
    <mergeCell ref="U45:W45"/>
    <mergeCell ref="X45:Z45"/>
    <mergeCell ref="AA45:AC45"/>
    <mergeCell ref="AD45:AF45"/>
    <mergeCell ref="AG45:AI45"/>
    <mergeCell ref="AJ45:AL45"/>
    <mergeCell ref="AM45:AO45"/>
    <mergeCell ref="AP45:AR45"/>
    <mergeCell ref="AS45:AU45"/>
    <mergeCell ref="AV45:AX45"/>
    <mergeCell ref="AY45:BA45"/>
    <mergeCell ref="BB45:BD45"/>
    <mergeCell ref="BE45:BG45"/>
    <mergeCell ref="BH45:BJ45"/>
    <mergeCell ref="BK45:BM45"/>
    <mergeCell ref="BN45:BP45"/>
    <mergeCell ref="BQ45:BS45"/>
    <mergeCell ref="BT45:BV45"/>
    <mergeCell ref="BW45:BY45"/>
    <mergeCell ref="BZ45:CB45"/>
    <mergeCell ref="U46:U47"/>
    <mergeCell ref="V46:V47"/>
    <mergeCell ref="W46:W47"/>
    <mergeCell ref="X46:X47"/>
    <mergeCell ref="Y46:Y47"/>
    <mergeCell ref="Z46:Z47"/>
    <mergeCell ref="AA46:AA47"/>
    <mergeCell ref="AB46:AB47"/>
    <mergeCell ref="AC46:AC47"/>
    <mergeCell ref="AD46:AD47"/>
    <mergeCell ref="AE46:AE47"/>
    <mergeCell ref="AF46:AF47"/>
    <mergeCell ref="AG46:AG47"/>
    <mergeCell ref="AH46:AH47"/>
    <mergeCell ref="AI46:AI47"/>
    <mergeCell ref="AJ46:AJ47"/>
    <mergeCell ref="AK46:AK47"/>
    <mergeCell ref="AL46:AL47"/>
    <mergeCell ref="AM46:AM47"/>
    <mergeCell ref="AN46:AN47"/>
    <mergeCell ref="AO46:AO47"/>
    <mergeCell ref="AP46:AP47"/>
    <mergeCell ref="AQ46:AQ47"/>
    <mergeCell ref="AR46:AR47"/>
    <mergeCell ref="AS46:AS47"/>
    <mergeCell ref="AT46:AT47"/>
    <mergeCell ref="AU46:AU47"/>
    <mergeCell ref="AV46:AV47"/>
    <mergeCell ref="AW46:AW47"/>
    <mergeCell ref="AX46:AX47"/>
    <mergeCell ref="AY46:AY47"/>
    <mergeCell ref="AZ46:AZ47"/>
    <mergeCell ref="BA46:BA47"/>
    <mergeCell ref="BB46:BB47"/>
    <mergeCell ref="BC46:BC47"/>
    <mergeCell ref="BD46:BD47"/>
    <mergeCell ref="BE46:BE47"/>
    <mergeCell ref="BF46:BF47"/>
    <mergeCell ref="BG46:BG47"/>
    <mergeCell ref="BH46:BH47"/>
    <mergeCell ref="BI46:BI47"/>
    <mergeCell ref="BJ46:BJ47"/>
    <mergeCell ref="BK46:BK47"/>
    <mergeCell ref="BL46:BL47"/>
    <mergeCell ref="BM46:BM47"/>
    <mergeCell ref="BW46:BW47"/>
    <mergeCell ref="BX46:BX47"/>
    <mergeCell ref="BY46:BY47"/>
    <mergeCell ref="BZ46:BZ47"/>
    <mergeCell ref="CA46:CA47"/>
    <mergeCell ref="CB46:CB47"/>
    <mergeCell ref="BN46:BN47"/>
    <mergeCell ref="BO46:BO47"/>
    <mergeCell ref="BP46:BP47"/>
    <mergeCell ref="BQ46:BQ47"/>
    <mergeCell ref="BR46:BR47"/>
    <mergeCell ref="BS46:BS47"/>
    <mergeCell ref="BT46:BT47"/>
    <mergeCell ref="BU46:BU47"/>
    <mergeCell ref="BV46:BV47"/>
  </mergeCells>
  <pageMargins left="0.59055118110236227" right="0.19685039370078741" top="0.59055118110236227" bottom="0.19685039370078741" header="0.51181102362204722" footer="0.51181102362204722"/>
  <pageSetup paperSize="9" scale="5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33"/>
  <sheetViews>
    <sheetView view="pageBreakPreview" topLeftCell="E1" zoomScale="70" zoomScaleNormal="100" zoomScaleSheetLayoutView="70" workbookViewId="0">
      <selection activeCell="E48" sqref="E48:H63"/>
    </sheetView>
  </sheetViews>
  <sheetFormatPr defaultRowHeight="12.75" x14ac:dyDescent="0.2"/>
  <cols>
    <col min="1" max="2" width="3.28515625" style="2" customWidth="1"/>
    <col min="3" max="3" width="7" style="2" customWidth="1"/>
    <col min="4" max="4" width="23.140625" style="2" customWidth="1"/>
    <col min="5" max="5" width="5.85546875" style="2" customWidth="1"/>
    <col min="6" max="6" width="9.140625" style="2" customWidth="1"/>
    <col min="7" max="8" width="5.85546875" style="2" customWidth="1"/>
    <col min="9" max="20" width="8.7109375" style="2" customWidth="1"/>
    <col min="21" max="22" width="8" style="2" customWidth="1"/>
    <col min="23" max="256" width="9.140625" style="2"/>
    <col min="257" max="258" width="3.28515625" style="2" customWidth="1"/>
    <col min="259" max="259" width="5.85546875" style="2" customWidth="1"/>
    <col min="260" max="260" width="18" style="2" customWidth="1"/>
    <col min="261" max="264" width="5.85546875" style="2" customWidth="1"/>
    <col min="265" max="276" width="7.42578125" style="2" customWidth="1"/>
    <col min="277" max="278" width="8" style="2" customWidth="1"/>
    <col min="279" max="512" width="9.140625" style="2"/>
    <col min="513" max="514" width="3.28515625" style="2" customWidth="1"/>
    <col min="515" max="515" width="5.85546875" style="2" customWidth="1"/>
    <col min="516" max="516" width="18" style="2" customWidth="1"/>
    <col min="517" max="520" width="5.85546875" style="2" customWidth="1"/>
    <col min="521" max="532" width="7.42578125" style="2" customWidth="1"/>
    <col min="533" max="534" width="8" style="2" customWidth="1"/>
    <col min="535" max="768" width="9.140625" style="2"/>
    <col min="769" max="770" width="3.28515625" style="2" customWidth="1"/>
    <col min="771" max="771" width="5.85546875" style="2" customWidth="1"/>
    <col min="772" max="772" width="18" style="2" customWidth="1"/>
    <col min="773" max="776" width="5.85546875" style="2" customWidth="1"/>
    <col min="777" max="788" width="7.42578125" style="2" customWidth="1"/>
    <col min="789" max="790" width="8" style="2" customWidth="1"/>
    <col min="791" max="1024" width="9.140625" style="2"/>
    <col min="1025" max="1026" width="3.28515625" style="2" customWidth="1"/>
    <col min="1027" max="1027" width="5.85546875" style="2" customWidth="1"/>
    <col min="1028" max="1028" width="18" style="2" customWidth="1"/>
    <col min="1029" max="1032" width="5.85546875" style="2" customWidth="1"/>
    <col min="1033" max="1044" width="7.42578125" style="2" customWidth="1"/>
    <col min="1045" max="1046" width="8" style="2" customWidth="1"/>
    <col min="1047" max="1280" width="9.140625" style="2"/>
    <col min="1281" max="1282" width="3.28515625" style="2" customWidth="1"/>
    <col min="1283" max="1283" width="5.85546875" style="2" customWidth="1"/>
    <col min="1284" max="1284" width="18" style="2" customWidth="1"/>
    <col min="1285" max="1288" width="5.85546875" style="2" customWidth="1"/>
    <col min="1289" max="1300" width="7.42578125" style="2" customWidth="1"/>
    <col min="1301" max="1302" width="8" style="2" customWidth="1"/>
    <col min="1303" max="1536" width="9.140625" style="2"/>
    <col min="1537" max="1538" width="3.28515625" style="2" customWidth="1"/>
    <col min="1539" max="1539" width="5.85546875" style="2" customWidth="1"/>
    <col min="1540" max="1540" width="18" style="2" customWidth="1"/>
    <col min="1541" max="1544" width="5.85546875" style="2" customWidth="1"/>
    <col min="1545" max="1556" width="7.42578125" style="2" customWidth="1"/>
    <col min="1557" max="1558" width="8" style="2" customWidth="1"/>
    <col min="1559" max="1792" width="9.140625" style="2"/>
    <col min="1793" max="1794" width="3.28515625" style="2" customWidth="1"/>
    <col min="1795" max="1795" width="5.85546875" style="2" customWidth="1"/>
    <col min="1796" max="1796" width="18" style="2" customWidth="1"/>
    <col min="1797" max="1800" width="5.85546875" style="2" customWidth="1"/>
    <col min="1801" max="1812" width="7.42578125" style="2" customWidth="1"/>
    <col min="1813" max="1814" width="8" style="2" customWidth="1"/>
    <col min="1815" max="2048" width="9.140625" style="2"/>
    <col min="2049" max="2050" width="3.28515625" style="2" customWidth="1"/>
    <col min="2051" max="2051" width="5.85546875" style="2" customWidth="1"/>
    <col min="2052" max="2052" width="18" style="2" customWidth="1"/>
    <col min="2053" max="2056" width="5.85546875" style="2" customWidth="1"/>
    <col min="2057" max="2068" width="7.42578125" style="2" customWidth="1"/>
    <col min="2069" max="2070" width="8" style="2" customWidth="1"/>
    <col min="2071" max="2304" width="9.140625" style="2"/>
    <col min="2305" max="2306" width="3.28515625" style="2" customWidth="1"/>
    <col min="2307" max="2307" width="5.85546875" style="2" customWidth="1"/>
    <col min="2308" max="2308" width="18" style="2" customWidth="1"/>
    <col min="2309" max="2312" width="5.85546875" style="2" customWidth="1"/>
    <col min="2313" max="2324" width="7.42578125" style="2" customWidth="1"/>
    <col min="2325" max="2326" width="8" style="2" customWidth="1"/>
    <col min="2327" max="2560" width="9.140625" style="2"/>
    <col min="2561" max="2562" width="3.28515625" style="2" customWidth="1"/>
    <col min="2563" max="2563" width="5.85546875" style="2" customWidth="1"/>
    <col min="2564" max="2564" width="18" style="2" customWidth="1"/>
    <col min="2565" max="2568" width="5.85546875" style="2" customWidth="1"/>
    <col min="2569" max="2580" width="7.42578125" style="2" customWidth="1"/>
    <col min="2581" max="2582" width="8" style="2" customWidth="1"/>
    <col min="2583" max="2816" width="9.140625" style="2"/>
    <col min="2817" max="2818" width="3.28515625" style="2" customWidth="1"/>
    <col min="2819" max="2819" width="5.85546875" style="2" customWidth="1"/>
    <col min="2820" max="2820" width="18" style="2" customWidth="1"/>
    <col min="2821" max="2824" width="5.85546875" style="2" customWidth="1"/>
    <col min="2825" max="2836" width="7.42578125" style="2" customWidth="1"/>
    <col min="2837" max="2838" width="8" style="2" customWidth="1"/>
    <col min="2839" max="3072" width="9.140625" style="2"/>
    <col min="3073" max="3074" width="3.28515625" style="2" customWidth="1"/>
    <col min="3075" max="3075" width="5.85546875" style="2" customWidth="1"/>
    <col min="3076" max="3076" width="18" style="2" customWidth="1"/>
    <col min="3077" max="3080" width="5.85546875" style="2" customWidth="1"/>
    <col min="3081" max="3092" width="7.42578125" style="2" customWidth="1"/>
    <col min="3093" max="3094" width="8" style="2" customWidth="1"/>
    <col min="3095" max="3328" width="9.140625" style="2"/>
    <col min="3329" max="3330" width="3.28515625" style="2" customWidth="1"/>
    <col min="3331" max="3331" width="5.85546875" style="2" customWidth="1"/>
    <col min="3332" max="3332" width="18" style="2" customWidth="1"/>
    <col min="3333" max="3336" width="5.85546875" style="2" customWidth="1"/>
    <col min="3337" max="3348" width="7.42578125" style="2" customWidth="1"/>
    <col min="3349" max="3350" width="8" style="2" customWidth="1"/>
    <col min="3351" max="3584" width="9.140625" style="2"/>
    <col min="3585" max="3586" width="3.28515625" style="2" customWidth="1"/>
    <col min="3587" max="3587" width="5.85546875" style="2" customWidth="1"/>
    <col min="3588" max="3588" width="18" style="2" customWidth="1"/>
    <col min="3589" max="3592" width="5.85546875" style="2" customWidth="1"/>
    <col min="3593" max="3604" width="7.42578125" style="2" customWidth="1"/>
    <col min="3605" max="3606" width="8" style="2" customWidth="1"/>
    <col min="3607" max="3840" width="9.140625" style="2"/>
    <col min="3841" max="3842" width="3.28515625" style="2" customWidth="1"/>
    <col min="3843" max="3843" width="5.85546875" style="2" customWidth="1"/>
    <col min="3844" max="3844" width="18" style="2" customWidth="1"/>
    <col min="3845" max="3848" width="5.85546875" style="2" customWidth="1"/>
    <col min="3849" max="3860" width="7.42578125" style="2" customWidth="1"/>
    <col min="3861" max="3862" width="8" style="2" customWidth="1"/>
    <col min="3863" max="4096" width="9.140625" style="2"/>
    <col min="4097" max="4098" width="3.28515625" style="2" customWidth="1"/>
    <col min="4099" max="4099" width="5.85546875" style="2" customWidth="1"/>
    <col min="4100" max="4100" width="18" style="2" customWidth="1"/>
    <col min="4101" max="4104" width="5.85546875" style="2" customWidth="1"/>
    <col min="4105" max="4116" width="7.42578125" style="2" customWidth="1"/>
    <col min="4117" max="4118" width="8" style="2" customWidth="1"/>
    <col min="4119" max="4352" width="9.140625" style="2"/>
    <col min="4353" max="4354" width="3.28515625" style="2" customWidth="1"/>
    <col min="4355" max="4355" width="5.85546875" style="2" customWidth="1"/>
    <col min="4356" max="4356" width="18" style="2" customWidth="1"/>
    <col min="4357" max="4360" width="5.85546875" style="2" customWidth="1"/>
    <col min="4361" max="4372" width="7.42578125" style="2" customWidth="1"/>
    <col min="4373" max="4374" width="8" style="2" customWidth="1"/>
    <col min="4375" max="4608" width="9.140625" style="2"/>
    <col min="4609" max="4610" width="3.28515625" style="2" customWidth="1"/>
    <col min="4611" max="4611" width="5.85546875" style="2" customWidth="1"/>
    <col min="4612" max="4612" width="18" style="2" customWidth="1"/>
    <col min="4613" max="4616" width="5.85546875" style="2" customWidth="1"/>
    <col min="4617" max="4628" width="7.42578125" style="2" customWidth="1"/>
    <col min="4629" max="4630" width="8" style="2" customWidth="1"/>
    <col min="4631" max="4864" width="9.140625" style="2"/>
    <col min="4865" max="4866" width="3.28515625" style="2" customWidth="1"/>
    <col min="4867" max="4867" width="5.85546875" style="2" customWidth="1"/>
    <col min="4868" max="4868" width="18" style="2" customWidth="1"/>
    <col min="4869" max="4872" width="5.85546875" style="2" customWidth="1"/>
    <col min="4873" max="4884" width="7.42578125" style="2" customWidth="1"/>
    <col min="4885" max="4886" width="8" style="2" customWidth="1"/>
    <col min="4887" max="5120" width="9.140625" style="2"/>
    <col min="5121" max="5122" width="3.28515625" style="2" customWidth="1"/>
    <col min="5123" max="5123" width="5.85546875" style="2" customWidth="1"/>
    <col min="5124" max="5124" width="18" style="2" customWidth="1"/>
    <col min="5125" max="5128" width="5.85546875" style="2" customWidth="1"/>
    <col min="5129" max="5140" width="7.42578125" style="2" customWidth="1"/>
    <col min="5141" max="5142" width="8" style="2" customWidth="1"/>
    <col min="5143" max="5376" width="9.140625" style="2"/>
    <col min="5377" max="5378" width="3.28515625" style="2" customWidth="1"/>
    <col min="5379" max="5379" width="5.85546875" style="2" customWidth="1"/>
    <col min="5380" max="5380" width="18" style="2" customWidth="1"/>
    <col min="5381" max="5384" width="5.85546875" style="2" customWidth="1"/>
    <col min="5385" max="5396" width="7.42578125" style="2" customWidth="1"/>
    <col min="5397" max="5398" width="8" style="2" customWidth="1"/>
    <col min="5399" max="5632" width="9.140625" style="2"/>
    <col min="5633" max="5634" width="3.28515625" style="2" customWidth="1"/>
    <col min="5635" max="5635" width="5.85546875" style="2" customWidth="1"/>
    <col min="5636" max="5636" width="18" style="2" customWidth="1"/>
    <col min="5637" max="5640" width="5.85546875" style="2" customWidth="1"/>
    <col min="5641" max="5652" width="7.42578125" style="2" customWidth="1"/>
    <col min="5653" max="5654" width="8" style="2" customWidth="1"/>
    <col min="5655" max="5888" width="9.140625" style="2"/>
    <col min="5889" max="5890" width="3.28515625" style="2" customWidth="1"/>
    <col min="5891" max="5891" width="5.85546875" style="2" customWidth="1"/>
    <col min="5892" max="5892" width="18" style="2" customWidth="1"/>
    <col min="5893" max="5896" width="5.85546875" style="2" customWidth="1"/>
    <col min="5897" max="5908" width="7.42578125" style="2" customWidth="1"/>
    <col min="5909" max="5910" width="8" style="2" customWidth="1"/>
    <col min="5911" max="6144" width="9.140625" style="2"/>
    <col min="6145" max="6146" width="3.28515625" style="2" customWidth="1"/>
    <col min="6147" max="6147" width="5.85546875" style="2" customWidth="1"/>
    <col min="6148" max="6148" width="18" style="2" customWidth="1"/>
    <col min="6149" max="6152" width="5.85546875" style="2" customWidth="1"/>
    <col min="6153" max="6164" width="7.42578125" style="2" customWidth="1"/>
    <col min="6165" max="6166" width="8" style="2" customWidth="1"/>
    <col min="6167" max="6400" width="9.140625" style="2"/>
    <col min="6401" max="6402" width="3.28515625" style="2" customWidth="1"/>
    <col min="6403" max="6403" width="5.85546875" style="2" customWidth="1"/>
    <col min="6404" max="6404" width="18" style="2" customWidth="1"/>
    <col min="6405" max="6408" width="5.85546875" style="2" customWidth="1"/>
    <col min="6409" max="6420" width="7.42578125" style="2" customWidth="1"/>
    <col min="6421" max="6422" width="8" style="2" customWidth="1"/>
    <col min="6423" max="6656" width="9.140625" style="2"/>
    <col min="6657" max="6658" width="3.28515625" style="2" customWidth="1"/>
    <col min="6659" max="6659" width="5.85546875" style="2" customWidth="1"/>
    <col min="6660" max="6660" width="18" style="2" customWidth="1"/>
    <col min="6661" max="6664" width="5.85546875" style="2" customWidth="1"/>
    <col min="6665" max="6676" width="7.42578125" style="2" customWidth="1"/>
    <col min="6677" max="6678" width="8" style="2" customWidth="1"/>
    <col min="6679" max="6912" width="9.140625" style="2"/>
    <col min="6913" max="6914" width="3.28515625" style="2" customWidth="1"/>
    <col min="6915" max="6915" width="5.85546875" style="2" customWidth="1"/>
    <col min="6916" max="6916" width="18" style="2" customWidth="1"/>
    <col min="6917" max="6920" width="5.85546875" style="2" customWidth="1"/>
    <col min="6921" max="6932" width="7.42578125" style="2" customWidth="1"/>
    <col min="6933" max="6934" width="8" style="2" customWidth="1"/>
    <col min="6935" max="7168" width="9.140625" style="2"/>
    <col min="7169" max="7170" width="3.28515625" style="2" customWidth="1"/>
    <col min="7171" max="7171" width="5.85546875" style="2" customWidth="1"/>
    <col min="7172" max="7172" width="18" style="2" customWidth="1"/>
    <col min="7173" max="7176" width="5.85546875" style="2" customWidth="1"/>
    <col min="7177" max="7188" width="7.42578125" style="2" customWidth="1"/>
    <col min="7189" max="7190" width="8" style="2" customWidth="1"/>
    <col min="7191" max="7424" width="9.140625" style="2"/>
    <col min="7425" max="7426" width="3.28515625" style="2" customWidth="1"/>
    <col min="7427" max="7427" width="5.85546875" style="2" customWidth="1"/>
    <col min="7428" max="7428" width="18" style="2" customWidth="1"/>
    <col min="7429" max="7432" width="5.85546875" style="2" customWidth="1"/>
    <col min="7433" max="7444" width="7.42578125" style="2" customWidth="1"/>
    <col min="7445" max="7446" width="8" style="2" customWidth="1"/>
    <col min="7447" max="7680" width="9.140625" style="2"/>
    <col min="7681" max="7682" width="3.28515625" style="2" customWidth="1"/>
    <col min="7683" max="7683" width="5.85546875" style="2" customWidth="1"/>
    <col min="7684" max="7684" width="18" style="2" customWidth="1"/>
    <col min="7685" max="7688" width="5.85546875" style="2" customWidth="1"/>
    <col min="7689" max="7700" width="7.42578125" style="2" customWidth="1"/>
    <col min="7701" max="7702" width="8" style="2" customWidth="1"/>
    <col min="7703" max="7936" width="9.140625" style="2"/>
    <col min="7937" max="7938" width="3.28515625" style="2" customWidth="1"/>
    <col min="7939" max="7939" width="5.85546875" style="2" customWidth="1"/>
    <col min="7940" max="7940" width="18" style="2" customWidth="1"/>
    <col min="7941" max="7944" width="5.85546875" style="2" customWidth="1"/>
    <col min="7945" max="7956" width="7.42578125" style="2" customWidth="1"/>
    <col min="7957" max="7958" width="8" style="2" customWidth="1"/>
    <col min="7959" max="8192" width="9.140625" style="2"/>
    <col min="8193" max="8194" width="3.28515625" style="2" customWidth="1"/>
    <col min="8195" max="8195" width="5.85546875" style="2" customWidth="1"/>
    <col min="8196" max="8196" width="18" style="2" customWidth="1"/>
    <col min="8197" max="8200" width="5.85546875" style="2" customWidth="1"/>
    <col min="8201" max="8212" width="7.42578125" style="2" customWidth="1"/>
    <col min="8213" max="8214" width="8" style="2" customWidth="1"/>
    <col min="8215" max="8448" width="9.140625" style="2"/>
    <col min="8449" max="8450" width="3.28515625" style="2" customWidth="1"/>
    <col min="8451" max="8451" width="5.85546875" style="2" customWidth="1"/>
    <col min="8452" max="8452" width="18" style="2" customWidth="1"/>
    <col min="8453" max="8456" width="5.85546875" style="2" customWidth="1"/>
    <col min="8457" max="8468" width="7.42578125" style="2" customWidth="1"/>
    <col min="8469" max="8470" width="8" style="2" customWidth="1"/>
    <col min="8471" max="8704" width="9.140625" style="2"/>
    <col min="8705" max="8706" width="3.28515625" style="2" customWidth="1"/>
    <col min="8707" max="8707" width="5.85546875" style="2" customWidth="1"/>
    <col min="8708" max="8708" width="18" style="2" customWidth="1"/>
    <col min="8709" max="8712" width="5.85546875" style="2" customWidth="1"/>
    <col min="8713" max="8724" width="7.42578125" style="2" customWidth="1"/>
    <col min="8725" max="8726" width="8" style="2" customWidth="1"/>
    <col min="8727" max="8960" width="9.140625" style="2"/>
    <col min="8961" max="8962" width="3.28515625" style="2" customWidth="1"/>
    <col min="8963" max="8963" width="5.85546875" style="2" customWidth="1"/>
    <col min="8964" max="8964" width="18" style="2" customWidth="1"/>
    <col min="8965" max="8968" width="5.85546875" style="2" customWidth="1"/>
    <col min="8969" max="8980" width="7.42578125" style="2" customWidth="1"/>
    <col min="8981" max="8982" width="8" style="2" customWidth="1"/>
    <col min="8983" max="9216" width="9.140625" style="2"/>
    <col min="9217" max="9218" width="3.28515625" style="2" customWidth="1"/>
    <col min="9219" max="9219" width="5.85546875" style="2" customWidth="1"/>
    <col min="9220" max="9220" width="18" style="2" customWidth="1"/>
    <col min="9221" max="9224" width="5.85546875" style="2" customWidth="1"/>
    <col min="9225" max="9236" width="7.42578125" style="2" customWidth="1"/>
    <col min="9237" max="9238" width="8" style="2" customWidth="1"/>
    <col min="9239" max="9472" width="9.140625" style="2"/>
    <col min="9473" max="9474" width="3.28515625" style="2" customWidth="1"/>
    <col min="9475" max="9475" width="5.85546875" style="2" customWidth="1"/>
    <col min="9476" max="9476" width="18" style="2" customWidth="1"/>
    <col min="9477" max="9480" width="5.85546875" style="2" customWidth="1"/>
    <col min="9481" max="9492" width="7.42578125" style="2" customWidth="1"/>
    <col min="9493" max="9494" width="8" style="2" customWidth="1"/>
    <col min="9495" max="9728" width="9.140625" style="2"/>
    <col min="9729" max="9730" width="3.28515625" style="2" customWidth="1"/>
    <col min="9731" max="9731" width="5.85546875" style="2" customWidth="1"/>
    <col min="9732" max="9732" width="18" style="2" customWidth="1"/>
    <col min="9733" max="9736" width="5.85546875" style="2" customWidth="1"/>
    <col min="9737" max="9748" width="7.42578125" style="2" customWidth="1"/>
    <col min="9749" max="9750" width="8" style="2" customWidth="1"/>
    <col min="9751" max="9984" width="9.140625" style="2"/>
    <col min="9985" max="9986" width="3.28515625" style="2" customWidth="1"/>
    <col min="9987" max="9987" width="5.85546875" style="2" customWidth="1"/>
    <col min="9988" max="9988" width="18" style="2" customWidth="1"/>
    <col min="9989" max="9992" width="5.85546875" style="2" customWidth="1"/>
    <col min="9993" max="10004" width="7.42578125" style="2" customWidth="1"/>
    <col min="10005" max="10006" width="8" style="2" customWidth="1"/>
    <col min="10007" max="10240" width="9.140625" style="2"/>
    <col min="10241" max="10242" width="3.28515625" style="2" customWidth="1"/>
    <col min="10243" max="10243" width="5.85546875" style="2" customWidth="1"/>
    <col min="10244" max="10244" width="18" style="2" customWidth="1"/>
    <col min="10245" max="10248" width="5.85546875" style="2" customWidth="1"/>
    <col min="10249" max="10260" width="7.42578125" style="2" customWidth="1"/>
    <col min="10261" max="10262" width="8" style="2" customWidth="1"/>
    <col min="10263" max="10496" width="9.140625" style="2"/>
    <col min="10497" max="10498" width="3.28515625" style="2" customWidth="1"/>
    <col min="10499" max="10499" width="5.85546875" style="2" customWidth="1"/>
    <col min="10500" max="10500" width="18" style="2" customWidth="1"/>
    <col min="10501" max="10504" width="5.85546875" style="2" customWidth="1"/>
    <col min="10505" max="10516" width="7.42578125" style="2" customWidth="1"/>
    <col min="10517" max="10518" width="8" style="2" customWidth="1"/>
    <col min="10519" max="10752" width="9.140625" style="2"/>
    <col min="10753" max="10754" width="3.28515625" style="2" customWidth="1"/>
    <col min="10755" max="10755" width="5.85546875" style="2" customWidth="1"/>
    <col min="10756" max="10756" width="18" style="2" customWidth="1"/>
    <col min="10757" max="10760" width="5.85546875" style="2" customWidth="1"/>
    <col min="10761" max="10772" width="7.42578125" style="2" customWidth="1"/>
    <col min="10773" max="10774" width="8" style="2" customWidth="1"/>
    <col min="10775" max="11008" width="9.140625" style="2"/>
    <col min="11009" max="11010" width="3.28515625" style="2" customWidth="1"/>
    <col min="11011" max="11011" width="5.85546875" style="2" customWidth="1"/>
    <col min="11012" max="11012" width="18" style="2" customWidth="1"/>
    <col min="11013" max="11016" width="5.85546875" style="2" customWidth="1"/>
    <col min="11017" max="11028" width="7.42578125" style="2" customWidth="1"/>
    <col min="11029" max="11030" width="8" style="2" customWidth="1"/>
    <col min="11031" max="11264" width="9.140625" style="2"/>
    <col min="11265" max="11266" width="3.28515625" style="2" customWidth="1"/>
    <col min="11267" max="11267" width="5.85546875" style="2" customWidth="1"/>
    <col min="11268" max="11268" width="18" style="2" customWidth="1"/>
    <col min="11269" max="11272" width="5.85546875" style="2" customWidth="1"/>
    <col min="11273" max="11284" width="7.42578125" style="2" customWidth="1"/>
    <col min="11285" max="11286" width="8" style="2" customWidth="1"/>
    <col min="11287" max="11520" width="9.140625" style="2"/>
    <col min="11521" max="11522" width="3.28515625" style="2" customWidth="1"/>
    <col min="11523" max="11523" width="5.85546875" style="2" customWidth="1"/>
    <col min="11524" max="11524" width="18" style="2" customWidth="1"/>
    <col min="11525" max="11528" width="5.85546875" style="2" customWidth="1"/>
    <col min="11529" max="11540" width="7.42578125" style="2" customWidth="1"/>
    <col min="11541" max="11542" width="8" style="2" customWidth="1"/>
    <col min="11543" max="11776" width="9.140625" style="2"/>
    <col min="11777" max="11778" width="3.28515625" style="2" customWidth="1"/>
    <col min="11779" max="11779" width="5.85546875" style="2" customWidth="1"/>
    <col min="11780" max="11780" width="18" style="2" customWidth="1"/>
    <col min="11781" max="11784" width="5.85546875" style="2" customWidth="1"/>
    <col min="11785" max="11796" width="7.42578125" style="2" customWidth="1"/>
    <col min="11797" max="11798" width="8" style="2" customWidth="1"/>
    <col min="11799" max="12032" width="9.140625" style="2"/>
    <col min="12033" max="12034" width="3.28515625" style="2" customWidth="1"/>
    <col min="12035" max="12035" width="5.85546875" style="2" customWidth="1"/>
    <col min="12036" max="12036" width="18" style="2" customWidth="1"/>
    <col min="12037" max="12040" width="5.85546875" style="2" customWidth="1"/>
    <col min="12041" max="12052" width="7.42578125" style="2" customWidth="1"/>
    <col min="12053" max="12054" width="8" style="2" customWidth="1"/>
    <col min="12055" max="12288" width="9.140625" style="2"/>
    <col min="12289" max="12290" width="3.28515625" style="2" customWidth="1"/>
    <col min="12291" max="12291" width="5.85546875" style="2" customWidth="1"/>
    <col min="12292" max="12292" width="18" style="2" customWidth="1"/>
    <col min="12293" max="12296" width="5.85546875" style="2" customWidth="1"/>
    <col min="12297" max="12308" width="7.42578125" style="2" customWidth="1"/>
    <col min="12309" max="12310" width="8" style="2" customWidth="1"/>
    <col min="12311" max="12544" width="9.140625" style="2"/>
    <col min="12545" max="12546" width="3.28515625" style="2" customWidth="1"/>
    <col min="12547" max="12547" width="5.85546875" style="2" customWidth="1"/>
    <col min="12548" max="12548" width="18" style="2" customWidth="1"/>
    <col min="12549" max="12552" width="5.85546875" style="2" customWidth="1"/>
    <col min="12553" max="12564" width="7.42578125" style="2" customWidth="1"/>
    <col min="12565" max="12566" width="8" style="2" customWidth="1"/>
    <col min="12567" max="12800" width="9.140625" style="2"/>
    <col min="12801" max="12802" width="3.28515625" style="2" customWidth="1"/>
    <col min="12803" max="12803" width="5.85546875" style="2" customWidth="1"/>
    <col min="12804" max="12804" width="18" style="2" customWidth="1"/>
    <col min="12805" max="12808" width="5.85546875" style="2" customWidth="1"/>
    <col min="12809" max="12820" width="7.42578125" style="2" customWidth="1"/>
    <col min="12821" max="12822" width="8" style="2" customWidth="1"/>
    <col min="12823" max="13056" width="9.140625" style="2"/>
    <col min="13057" max="13058" width="3.28515625" style="2" customWidth="1"/>
    <col min="13059" max="13059" width="5.85546875" style="2" customWidth="1"/>
    <col min="13060" max="13060" width="18" style="2" customWidth="1"/>
    <col min="13061" max="13064" width="5.85546875" style="2" customWidth="1"/>
    <col min="13065" max="13076" width="7.42578125" style="2" customWidth="1"/>
    <col min="13077" max="13078" width="8" style="2" customWidth="1"/>
    <col min="13079" max="13312" width="9.140625" style="2"/>
    <col min="13313" max="13314" width="3.28515625" style="2" customWidth="1"/>
    <col min="13315" max="13315" width="5.85546875" style="2" customWidth="1"/>
    <col min="13316" max="13316" width="18" style="2" customWidth="1"/>
    <col min="13317" max="13320" width="5.85546875" style="2" customWidth="1"/>
    <col min="13321" max="13332" width="7.42578125" style="2" customWidth="1"/>
    <col min="13333" max="13334" width="8" style="2" customWidth="1"/>
    <col min="13335" max="13568" width="9.140625" style="2"/>
    <col min="13569" max="13570" width="3.28515625" style="2" customWidth="1"/>
    <col min="13571" max="13571" width="5.85546875" style="2" customWidth="1"/>
    <col min="13572" max="13572" width="18" style="2" customWidth="1"/>
    <col min="13573" max="13576" width="5.85546875" style="2" customWidth="1"/>
    <col min="13577" max="13588" width="7.42578125" style="2" customWidth="1"/>
    <col min="13589" max="13590" width="8" style="2" customWidth="1"/>
    <col min="13591" max="13824" width="9.140625" style="2"/>
    <col min="13825" max="13826" width="3.28515625" style="2" customWidth="1"/>
    <col min="13827" max="13827" width="5.85546875" style="2" customWidth="1"/>
    <col min="13828" max="13828" width="18" style="2" customWidth="1"/>
    <col min="13829" max="13832" width="5.85546875" style="2" customWidth="1"/>
    <col min="13833" max="13844" width="7.42578125" style="2" customWidth="1"/>
    <col min="13845" max="13846" width="8" style="2" customWidth="1"/>
    <col min="13847" max="14080" width="9.140625" style="2"/>
    <col min="14081" max="14082" width="3.28515625" style="2" customWidth="1"/>
    <col min="14083" max="14083" width="5.85546875" style="2" customWidth="1"/>
    <col min="14084" max="14084" width="18" style="2" customWidth="1"/>
    <col min="14085" max="14088" width="5.85546875" style="2" customWidth="1"/>
    <col min="14089" max="14100" width="7.42578125" style="2" customWidth="1"/>
    <col min="14101" max="14102" width="8" style="2" customWidth="1"/>
    <col min="14103" max="14336" width="9.140625" style="2"/>
    <col min="14337" max="14338" width="3.28515625" style="2" customWidth="1"/>
    <col min="14339" max="14339" width="5.85546875" style="2" customWidth="1"/>
    <col min="14340" max="14340" width="18" style="2" customWidth="1"/>
    <col min="14341" max="14344" width="5.85546875" style="2" customWidth="1"/>
    <col min="14345" max="14356" width="7.42578125" style="2" customWidth="1"/>
    <col min="14357" max="14358" width="8" style="2" customWidth="1"/>
    <col min="14359" max="14592" width="9.140625" style="2"/>
    <col min="14593" max="14594" width="3.28515625" style="2" customWidth="1"/>
    <col min="14595" max="14595" width="5.85546875" style="2" customWidth="1"/>
    <col min="14596" max="14596" width="18" style="2" customWidth="1"/>
    <col min="14597" max="14600" width="5.85546875" style="2" customWidth="1"/>
    <col min="14601" max="14612" width="7.42578125" style="2" customWidth="1"/>
    <col min="14613" max="14614" width="8" style="2" customWidth="1"/>
    <col min="14615" max="14848" width="9.140625" style="2"/>
    <col min="14849" max="14850" width="3.28515625" style="2" customWidth="1"/>
    <col min="14851" max="14851" width="5.85546875" style="2" customWidth="1"/>
    <col min="14852" max="14852" width="18" style="2" customWidth="1"/>
    <col min="14853" max="14856" width="5.85546875" style="2" customWidth="1"/>
    <col min="14857" max="14868" width="7.42578125" style="2" customWidth="1"/>
    <col min="14869" max="14870" width="8" style="2" customWidth="1"/>
    <col min="14871" max="15104" width="9.140625" style="2"/>
    <col min="15105" max="15106" width="3.28515625" style="2" customWidth="1"/>
    <col min="15107" max="15107" width="5.85546875" style="2" customWidth="1"/>
    <col min="15108" max="15108" width="18" style="2" customWidth="1"/>
    <col min="15109" max="15112" width="5.85546875" style="2" customWidth="1"/>
    <col min="15113" max="15124" width="7.42578125" style="2" customWidth="1"/>
    <col min="15125" max="15126" width="8" style="2" customWidth="1"/>
    <col min="15127" max="15360" width="9.140625" style="2"/>
    <col min="15361" max="15362" width="3.28515625" style="2" customWidth="1"/>
    <col min="15363" max="15363" width="5.85546875" style="2" customWidth="1"/>
    <col min="15364" max="15364" width="18" style="2" customWidth="1"/>
    <col min="15365" max="15368" width="5.85546875" style="2" customWidth="1"/>
    <col min="15369" max="15380" width="7.42578125" style="2" customWidth="1"/>
    <col min="15381" max="15382" width="8" style="2" customWidth="1"/>
    <col min="15383" max="15616" width="9.140625" style="2"/>
    <col min="15617" max="15618" width="3.28515625" style="2" customWidth="1"/>
    <col min="15619" max="15619" width="5.85546875" style="2" customWidth="1"/>
    <col min="15620" max="15620" width="18" style="2" customWidth="1"/>
    <col min="15621" max="15624" width="5.85546875" style="2" customWidth="1"/>
    <col min="15625" max="15636" width="7.42578125" style="2" customWidth="1"/>
    <col min="15637" max="15638" width="8" style="2" customWidth="1"/>
    <col min="15639" max="15872" width="9.140625" style="2"/>
    <col min="15873" max="15874" width="3.28515625" style="2" customWidth="1"/>
    <col min="15875" max="15875" width="5.85546875" style="2" customWidth="1"/>
    <col min="15876" max="15876" width="18" style="2" customWidth="1"/>
    <col min="15877" max="15880" width="5.85546875" style="2" customWidth="1"/>
    <col min="15881" max="15892" width="7.42578125" style="2" customWidth="1"/>
    <col min="15893" max="15894" width="8" style="2" customWidth="1"/>
    <col min="15895" max="16128" width="9.140625" style="2"/>
    <col min="16129" max="16130" width="3.28515625" style="2" customWidth="1"/>
    <col min="16131" max="16131" width="5.85546875" style="2" customWidth="1"/>
    <col min="16132" max="16132" width="18" style="2" customWidth="1"/>
    <col min="16133" max="16136" width="5.85546875" style="2" customWidth="1"/>
    <col min="16137" max="16148" width="7.42578125" style="2" customWidth="1"/>
    <col min="16149" max="16150" width="8" style="2" customWidth="1"/>
    <col min="16151" max="16384" width="9.140625" style="2"/>
  </cols>
  <sheetData>
    <row r="1" spans="1:80" ht="16.5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 t="s">
        <v>34</v>
      </c>
    </row>
    <row r="2" spans="1:80" ht="16.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 t="s">
        <v>35</v>
      </c>
    </row>
    <row r="3" spans="1:80" ht="16.5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 t="s">
        <v>36</v>
      </c>
    </row>
    <row r="4" spans="1:80" ht="37.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8"/>
    </row>
    <row r="5" spans="1:80" ht="16.5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8"/>
    </row>
    <row r="6" spans="1:80" ht="73.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8"/>
    </row>
    <row r="7" spans="1:80" ht="16.5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016" t="s">
        <v>29</v>
      </c>
      <c r="R7" s="1016"/>
      <c r="S7" s="1016"/>
      <c r="T7" s="1016"/>
    </row>
    <row r="8" spans="1:80" ht="16.5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017" t="s">
        <v>1</v>
      </c>
      <c r="R8" s="1017"/>
      <c r="S8" s="1017"/>
      <c r="T8" s="1017"/>
    </row>
    <row r="9" spans="1:80" ht="16.5" customHeight="1" x14ac:dyDescent="0.25">
      <c r="A9" s="1018" t="s">
        <v>56</v>
      </c>
      <c r="B9" s="1018"/>
      <c r="C9" s="1018"/>
      <c r="D9" s="1018"/>
      <c r="E9" s="1018"/>
      <c r="F9" s="1018"/>
      <c r="G9" s="1018"/>
      <c r="H9" s="1018"/>
      <c r="I9" s="1018"/>
      <c r="J9" s="1018"/>
      <c r="K9" s="1018"/>
      <c r="L9" s="1018"/>
      <c r="M9" s="1018"/>
      <c r="N9" s="1018"/>
      <c r="O9" s="1018"/>
      <c r="P9" s="1018"/>
      <c r="Q9" s="1018"/>
      <c r="R9" s="1018"/>
      <c r="S9" s="1018"/>
      <c r="T9" s="1018"/>
      <c r="U9" s="1"/>
    </row>
    <row r="10" spans="1:80" ht="15.75" thickBot="1" x14ac:dyDescent="0.3">
      <c r="A10" s="1019"/>
      <c r="B10" s="1019"/>
      <c r="C10" s="1019"/>
      <c r="D10" s="1019"/>
      <c r="E10" s="1019"/>
      <c r="F10" s="1019"/>
      <c r="G10" s="1019"/>
      <c r="H10" s="1019"/>
      <c r="I10" s="1019"/>
      <c r="J10" s="1019"/>
      <c r="K10" s="1019"/>
      <c r="L10" s="1019"/>
      <c r="M10" s="1019"/>
      <c r="N10" s="1019"/>
      <c r="O10" s="1019"/>
      <c r="P10" s="1019"/>
      <c r="Q10" s="1019"/>
      <c r="R10" s="1019"/>
      <c r="S10" s="1019"/>
      <c r="T10" s="1019"/>
      <c r="U10" s="1"/>
    </row>
    <row r="11" spans="1:80" ht="19.5" customHeight="1" thickBot="1" x14ac:dyDescent="0.25">
      <c r="A11" s="1020" t="s">
        <v>2</v>
      </c>
      <c r="B11" s="1021"/>
      <c r="C11" s="1021"/>
      <c r="D11" s="1021"/>
      <c r="E11" s="1021"/>
      <c r="F11" s="1021"/>
      <c r="G11" s="1021"/>
      <c r="H11" s="1022"/>
      <c r="I11" s="1001" t="s">
        <v>3</v>
      </c>
      <c r="J11" s="1002"/>
      <c r="K11" s="1003"/>
      <c r="L11" s="1001" t="s">
        <v>4</v>
      </c>
      <c r="M11" s="1002"/>
      <c r="N11" s="1003"/>
      <c r="O11" s="1001" t="s">
        <v>102</v>
      </c>
      <c r="P11" s="1002"/>
      <c r="Q11" s="1003"/>
      <c r="R11" s="1001" t="s">
        <v>103</v>
      </c>
      <c r="S11" s="1002"/>
      <c r="T11" s="1003"/>
      <c r="U11" s="1001" t="s">
        <v>104</v>
      </c>
      <c r="V11" s="1002"/>
      <c r="W11" s="1003"/>
      <c r="X11" s="1001" t="s">
        <v>105</v>
      </c>
      <c r="Y11" s="1002"/>
      <c r="Z11" s="1003"/>
      <c r="AA11" s="1001" t="s">
        <v>106</v>
      </c>
      <c r="AB11" s="1002"/>
      <c r="AC11" s="1003"/>
      <c r="AD11" s="1001" t="s">
        <v>108</v>
      </c>
      <c r="AE11" s="1002"/>
      <c r="AF11" s="1003"/>
      <c r="AG11" s="1001" t="s">
        <v>107</v>
      </c>
      <c r="AH11" s="1002"/>
      <c r="AI11" s="1003"/>
      <c r="AJ11" s="1001" t="s">
        <v>109</v>
      </c>
      <c r="AK11" s="1002"/>
      <c r="AL11" s="1003"/>
      <c r="AM11" s="1001" t="s">
        <v>110</v>
      </c>
      <c r="AN11" s="1002"/>
      <c r="AO11" s="1003"/>
      <c r="AP11" s="1001" t="s">
        <v>111</v>
      </c>
      <c r="AQ11" s="1002"/>
      <c r="AR11" s="1003"/>
      <c r="AS11" s="1001" t="s">
        <v>112</v>
      </c>
      <c r="AT11" s="1002"/>
      <c r="AU11" s="1003"/>
      <c r="AV11" s="1001" t="s">
        <v>113</v>
      </c>
      <c r="AW11" s="1002"/>
      <c r="AX11" s="1003"/>
      <c r="AY11" s="1001" t="s">
        <v>114</v>
      </c>
      <c r="AZ11" s="1002"/>
      <c r="BA11" s="1003"/>
      <c r="BB11" s="1001" t="s">
        <v>115</v>
      </c>
      <c r="BC11" s="1002"/>
      <c r="BD11" s="1003"/>
      <c r="BE11" s="1001" t="s">
        <v>116</v>
      </c>
      <c r="BF11" s="1002"/>
      <c r="BG11" s="1003"/>
      <c r="BH11" s="1001" t="s">
        <v>117</v>
      </c>
      <c r="BI11" s="1002"/>
      <c r="BJ11" s="1003"/>
      <c r="BK11" s="1001" t="s">
        <v>118</v>
      </c>
      <c r="BL11" s="1002"/>
      <c r="BM11" s="1003"/>
      <c r="BN11" s="1001" t="s">
        <v>119</v>
      </c>
      <c r="BO11" s="1002"/>
      <c r="BP11" s="1003"/>
      <c r="BQ11" s="1001" t="s">
        <v>120</v>
      </c>
      <c r="BR11" s="1002"/>
      <c r="BS11" s="1003"/>
      <c r="BT11" s="1001" t="s">
        <v>121</v>
      </c>
      <c r="BU11" s="1002"/>
      <c r="BV11" s="1003"/>
      <c r="BW11" s="1001" t="s">
        <v>122</v>
      </c>
      <c r="BX11" s="1002"/>
      <c r="BY11" s="1003"/>
      <c r="BZ11" s="1001" t="s">
        <v>5</v>
      </c>
      <c r="CA11" s="1002"/>
      <c r="CB11" s="1003"/>
    </row>
    <row r="12" spans="1:80" ht="12.75" customHeight="1" x14ac:dyDescent="0.2">
      <c r="A12" s="1040" t="s">
        <v>6</v>
      </c>
      <c r="B12" s="1041"/>
      <c r="C12" s="1042"/>
      <c r="D12" s="1046" t="s">
        <v>7</v>
      </c>
      <c r="E12" s="1040" t="s">
        <v>8</v>
      </c>
      <c r="F12" s="1041"/>
      <c r="G12" s="1041"/>
      <c r="H12" s="1042"/>
      <c r="I12" s="1004" t="s">
        <v>9</v>
      </c>
      <c r="J12" s="1006" t="s">
        <v>10</v>
      </c>
      <c r="K12" s="1006" t="s">
        <v>11</v>
      </c>
      <c r="L12" s="1004" t="s">
        <v>9</v>
      </c>
      <c r="M12" s="1006" t="s">
        <v>10</v>
      </c>
      <c r="N12" s="1006" t="s">
        <v>11</v>
      </c>
      <c r="O12" s="1004" t="s">
        <v>9</v>
      </c>
      <c r="P12" s="1006" t="s">
        <v>10</v>
      </c>
      <c r="Q12" s="1008" t="s">
        <v>11</v>
      </c>
      <c r="R12" s="1004" t="s">
        <v>9</v>
      </c>
      <c r="S12" s="1006" t="s">
        <v>10</v>
      </c>
      <c r="T12" s="1008" t="s">
        <v>11</v>
      </c>
      <c r="U12" s="1004" t="s">
        <v>9</v>
      </c>
      <c r="V12" s="1006" t="s">
        <v>10</v>
      </c>
      <c r="W12" s="1006" t="s">
        <v>11</v>
      </c>
      <c r="X12" s="1004" t="s">
        <v>9</v>
      </c>
      <c r="Y12" s="1006" t="s">
        <v>10</v>
      </c>
      <c r="Z12" s="1006" t="s">
        <v>11</v>
      </c>
      <c r="AA12" s="1004" t="s">
        <v>9</v>
      </c>
      <c r="AB12" s="1006" t="s">
        <v>10</v>
      </c>
      <c r="AC12" s="1008" t="s">
        <v>11</v>
      </c>
      <c r="AD12" s="1004" t="s">
        <v>9</v>
      </c>
      <c r="AE12" s="1006" t="s">
        <v>10</v>
      </c>
      <c r="AF12" s="1008" t="s">
        <v>11</v>
      </c>
      <c r="AG12" s="1004" t="s">
        <v>9</v>
      </c>
      <c r="AH12" s="1006" t="s">
        <v>10</v>
      </c>
      <c r="AI12" s="1006" t="s">
        <v>11</v>
      </c>
      <c r="AJ12" s="1004" t="s">
        <v>9</v>
      </c>
      <c r="AK12" s="1006" t="s">
        <v>10</v>
      </c>
      <c r="AL12" s="1006" t="s">
        <v>11</v>
      </c>
      <c r="AM12" s="1004" t="s">
        <v>9</v>
      </c>
      <c r="AN12" s="1006" t="s">
        <v>10</v>
      </c>
      <c r="AO12" s="1008" t="s">
        <v>11</v>
      </c>
      <c r="AP12" s="1004" t="s">
        <v>9</v>
      </c>
      <c r="AQ12" s="1006" t="s">
        <v>10</v>
      </c>
      <c r="AR12" s="1008" t="s">
        <v>11</v>
      </c>
      <c r="AS12" s="1004" t="s">
        <v>9</v>
      </c>
      <c r="AT12" s="1006" t="s">
        <v>10</v>
      </c>
      <c r="AU12" s="1006" t="s">
        <v>11</v>
      </c>
      <c r="AV12" s="1004" t="s">
        <v>9</v>
      </c>
      <c r="AW12" s="1006" t="s">
        <v>10</v>
      </c>
      <c r="AX12" s="1006" t="s">
        <v>11</v>
      </c>
      <c r="AY12" s="1004" t="s">
        <v>9</v>
      </c>
      <c r="AZ12" s="1006" t="s">
        <v>10</v>
      </c>
      <c r="BA12" s="1008" t="s">
        <v>11</v>
      </c>
      <c r="BB12" s="1004" t="s">
        <v>9</v>
      </c>
      <c r="BC12" s="1006" t="s">
        <v>10</v>
      </c>
      <c r="BD12" s="1008" t="s">
        <v>11</v>
      </c>
      <c r="BE12" s="1004" t="s">
        <v>9</v>
      </c>
      <c r="BF12" s="1006" t="s">
        <v>10</v>
      </c>
      <c r="BG12" s="1006" t="s">
        <v>11</v>
      </c>
      <c r="BH12" s="1004" t="s">
        <v>9</v>
      </c>
      <c r="BI12" s="1006" t="s">
        <v>10</v>
      </c>
      <c r="BJ12" s="1006" t="s">
        <v>11</v>
      </c>
      <c r="BK12" s="1004" t="s">
        <v>9</v>
      </c>
      <c r="BL12" s="1006" t="s">
        <v>10</v>
      </c>
      <c r="BM12" s="1008" t="s">
        <v>11</v>
      </c>
      <c r="BN12" s="1004" t="s">
        <v>9</v>
      </c>
      <c r="BO12" s="1006" t="s">
        <v>10</v>
      </c>
      <c r="BP12" s="1008" t="s">
        <v>11</v>
      </c>
      <c r="BQ12" s="1004" t="s">
        <v>9</v>
      </c>
      <c r="BR12" s="1006" t="s">
        <v>10</v>
      </c>
      <c r="BS12" s="1006" t="s">
        <v>11</v>
      </c>
      <c r="BT12" s="1004" t="s">
        <v>9</v>
      </c>
      <c r="BU12" s="1006" t="s">
        <v>10</v>
      </c>
      <c r="BV12" s="1006" t="s">
        <v>11</v>
      </c>
      <c r="BW12" s="1004" t="s">
        <v>9</v>
      </c>
      <c r="BX12" s="1006" t="s">
        <v>10</v>
      </c>
      <c r="BY12" s="1008" t="s">
        <v>11</v>
      </c>
      <c r="BZ12" s="1004" t="s">
        <v>9</v>
      </c>
      <c r="CA12" s="1006" t="s">
        <v>10</v>
      </c>
      <c r="CB12" s="1008" t="s">
        <v>11</v>
      </c>
    </row>
    <row r="13" spans="1:80" ht="23.25" customHeight="1" thickBot="1" x14ac:dyDescent="0.25">
      <c r="A13" s="1043"/>
      <c r="B13" s="1044"/>
      <c r="C13" s="1045"/>
      <c r="D13" s="1047"/>
      <c r="E13" s="1043"/>
      <c r="F13" s="1044"/>
      <c r="G13" s="1044"/>
      <c r="H13" s="1045"/>
      <c r="I13" s="1005"/>
      <c r="J13" s="1007"/>
      <c r="K13" s="1007"/>
      <c r="L13" s="1005"/>
      <c r="M13" s="1007"/>
      <c r="N13" s="1007"/>
      <c r="O13" s="1005"/>
      <c r="P13" s="1007"/>
      <c r="Q13" s="1009"/>
      <c r="R13" s="1005"/>
      <c r="S13" s="1007"/>
      <c r="T13" s="1009"/>
      <c r="U13" s="1005"/>
      <c r="V13" s="1007"/>
      <c r="W13" s="1007"/>
      <c r="X13" s="1005"/>
      <c r="Y13" s="1007"/>
      <c r="Z13" s="1007"/>
      <c r="AA13" s="1005"/>
      <c r="AB13" s="1007"/>
      <c r="AC13" s="1009"/>
      <c r="AD13" s="1005"/>
      <c r="AE13" s="1007"/>
      <c r="AF13" s="1009"/>
      <c r="AG13" s="1005"/>
      <c r="AH13" s="1007"/>
      <c r="AI13" s="1007"/>
      <c r="AJ13" s="1005"/>
      <c r="AK13" s="1007"/>
      <c r="AL13" s="1007"/>
      <c r="AM13" s="1005"/>
      <c r="AN13" s="1007"/>
      <c r="AO13" s="1009"/>
      <c r="AP13" s="1005"/>
      <c r="AQ13" s="1007"/>
      <c r="AR13" s="1009"/>
      <c r="AS13" s="1005"/>
      <c r="AT13" s="1007"/>
      <c r="AU13" s="1007"/>
      <c r="AV13" s="1005"/>
      <c r="AW13" s="1007"/>
      <c r="AX13" s="1007"/>
      <c r="AY13" s="1005"/>
      <c r="AZ13" s="1007"/>
      <c r="BA13" s="1009"/>
      <c r="BB13" s="1005"/>
      <c r="BC13" s="1007"/>
      <c r="BD13" s="1009"/>
      <c r="BE13" s="1005"/>
      <c r="BF13" s="1007"/>
      <c r="BG13" s="1007"/>
      <c r="BH13" s="1005"/>
      <c r="BI13" s="1007"/>
      <c r="BJ13" s="1007"/>
      <c r="BK13" s="1005"/>
      <c r="BL13" s="1007"/>
      <c r="BM13" s="1009"/>
      <c r="BN13" s="1005"/>
      <c r="BO13" s="1007"/>
      <c r="BP13" s="1009"/>
      <c r="BQ13" s="1005"/>
      <c r="BR13" s="1007"/>
      <c r="BS13" s="1007"/>
      <c r="BT13" s="1005"/>
      <c r="BU13" s="1007"/>
      <c r="BV13" s="1007"/>
      <c r="BW13" s="1005"/>
      <c r="BX13" s="1007"/>
      <c r="BY13" s="1009"/>
      <c r="BZ13" s="1005"/>
      <c r="CA13" s="1007"/>
      <c r="CB13" s="1009"/>
    </row>
    <row r="14" spans="1:80" ht="18" customHeight="1" thickBot="1" x14ac:dyDescent="0.3">
      <c r="A14" s="1023" t="s">
        <v>12</v>
      </c>
      <c r="B14" s="1024"/>
      <c r="C14" s="1025"/>
      <c r="D14" s="1032">
        <v>25</v>
      </c>
      <c r="E14" s="1023" t="s">
        <v>13</v>
      </c>
      <c r="F14" s="1025"/>
      <c r="G14" s="1035" t="s">
        <v>55</v>
      </c>
      <c r="H14" s="1036"/>
      <c r="I14" s="9">
        <v>36</v>
      </c>
      <c r="J14" s="39">
        <f>I17*I14/1000*0.8288</f>
        <v>3.580416</v>
      </c>
      <c r="K14" s="87">
        <f>I17*I14/1000*(1-0.8288)</f>
        <v>0.73958400000000013</v>
      </c>
      <c r="L14" s="9">
        <v>36</v>
      </c>
      <c r="M14" s="39">
        <f>L17*L14/1000*0.8288</f>
        <v>3.580416</v>
      </c>
      <c r="N14" s="87">
        <f>L17*L14/1000*(1-0.8288)</f>
        <v>0.73958400000000013</v>
      </c>
      <c r="O14" s="9">
        <v>36</v>
      </c>
      <c r="P14" s="39">
        <f>O17*O14/1000*0.8288</f>
        <v>3.580416</v>
      </c>
      <c r="Q14" s="87">
        <f>O17*O14/1000*(1-0.8288)</f>
        <v>0.73958400000000013</v>
      </c>
      <c r="R14" s="9">
        <v>36</v>
      </c>
      <c r="S14" s="39">
        <f>R17*R14/1000*0.8288</f>
        <v>3.580416</v>
      </c>
      <c r="T14" s="87">
        <f>R17*R14/1000*(1-0.8288)</f>
        <v>0.73958400000000013</v>
      </c>
      <c r="U14" s="9">
        <v>36</v>
      </c>
      <c r="V14" s="39">
        <f>U17*U14/1000*0.8288</f>
        <v>3.580416</v>
      </c>
      <c r="W14" s="87">
        <f>U17*U14/1000*(1-0.8288)</f>
        <v>0.73958400000000013</v>
      </c>
      <c r="X14" s="9">
        <v>36</v>
      </c>
      <c r="Y14" s="39">
        <f>X17*X14/1000*0.8288</f>
        <v>3.580416</v>
      </c>
      <c r="Z14" s="87">
        <f>X17*X14/1000*(1-0.8288)</f>
        <v>0.73958400000000013</v>
      </c>
      <c r="AA14" s="9">
        <v>36</v>
      </c>
      <c r="AB14" s="39">
        <f>AA17*AA14/1000*0.8288</f>
        <v>3.580416</v>
      </c>
      <c r="AC14" s="87">
        <f>AA17*AA14/1000*(1-0.8288)</f>
        <v>0.73958400000000013</v>
      </c>
      <c r="AD14" s="9">
        <v>36</v>
      </c>
      <c r="AE14" s="39">
        <f>AD17*AD14/1000*0.8288</f>
        <v>3.580416</v>
      </c>
      <c r="AF14" s="87">
        <f>AD17*AD14/1000*(1-0.8288)</f>
        <v>0.73958400000000013</v>
      </c>
      <c r="AG14" s="9">
        <v>46</v>
      </c>
      <c r="AH14" s="39">
        <f>AG17*AG14/1000*0.8288</f>
        <v>4.5749759999999995</v>
      </c>
      <c r="AI14" s="87">
        <f>AG17*AG14/1000*(1-0.8288)</f>
        <v>0.94502400000000009</v>
      </c>
      <c r="AJ14" s="9">
        <v>46</v>
      </c>
      <c r="AK14" s="39">
        <f>AJ17*AJ14/1000*0.8288</f>
        <v>4.5749759999999995</v>
      </c>
      <c r="AL14" s="87">
        <f>AJ17*AJ14/1000*(1-0.8288)</f>
        <v>0.94502400000000009</v>
      </c>
      <c r="AM14" s="9">
        <v>46</v>
      </c>
      <c r="AN14" s="39">
        <f>AM17*AM14/1000*0.8288</f>
        <v>4.5749759999999995</v>
      </c>
      <c r="AO14" s="87">
        <f>AM17*AM14/1000*(1-0.8288)</f>
        <v>0.94502400000000009</v>
      </c>
      <c r="AP14" s="9">
        <v>46</v>
      </c>
      <c r="AQ14" s="39">
        <f>AP17*AP14/1000*0.8288</f>
        <v>4.5749759999999995</v>
      </c>
      <c r="AR14" s="87">
        <f>AP17*AP14/1000*(1-0.8288)</f>
        <v>0.94502400000000009</v>
      </c>
      <c r="AS14" s="9">
        <v>46</v>
      </c>
      <c r="AT14" s="39">
        <f>AS17*AS14/1000*0.8288</f>
        <v>4.5749759999999995</v>
      </c>
      <c r="AU14" s="87">
        <f>AS17*AS14/1000*(1-0.8288)</f>
        <v>0.94502400000000009</v>
      </c>
      <c r="AV14" s="9">
        <v>46</v>
      </c>
      <c r="AW14" s="39">
        <f>AV17*AV14/1000*0.8288</f>
        <v>4.5749759999999995</v>
      </c>
      <c r="AX14" s="87">
        <f>AV17*AV14/1000*(1-0.8288)</f>
        <v>0.94502400000000009</v>
      </c>
      <c r="AY14" s="9">
        <v>52</v>
      </c>
      <c r="AZ14" s="39">
        <f>AY17*AY14/1000*0.8288</f>
        <v>5.1717120000000003</v>
      </c>
      <c r="BA14" s="87">
        <f>AY17*AY14/1000*(1-0.8288)</f>
        <v>1.0682880000000001</v>
      </c>
      <c r="BB14" s="9">
        <v>52</v>
      </c>
      <c r="BC14" s="39">
        <f>BB17*BB14/1000*0.8288</f>
        <v>5.1717120000000003</v>
      </c>
      <c r="BD14" s="87">
        <f>BB17*BB14/1000*(1-0.8288)</f>
        <v>1.0682880000000001</v>
      </c>
      <c r="BE14" s="9">
        <v>52</v>
      </c>
      <c r="BF14" s="39">
        <f>BE17*BE14/1000*0.8288</f>
        <v>5.1717120000000003</v>
      </c>
      <c r="BG14" s="87">
        <f>BE17*BE14/1000*(1-0.8288)</f>
        <v>1.0682880000000001</v>
      </c>
      <c r="BH14" s="9">
        <v>52</v>
      </c>
      <c r="BI14" s="39">
        <f>BH17*BH14/1000*0.8288</f>
        <v>5.1717120000000003</v>
      </c>
      <c r="BJ14" s="87">
        <f>BH17*BH14/1000*(1-0.8288)</f>
        <v>1.0682880000000001</v>
      </c>
      <c r="BK14" s="9">
        <v>52</v>
      </c>
      <c r="BL14" s="39">
        <f>BK17*BK14/1000*0.8288</f>
        <v>5.1717120000000003</v>
      </c>
      <c r="BM14" s="87">
        <f>BK17*BK14/1000*(1-0.8288)</f>
        <v>1.0682880000000001</v>
      </c>
      <c r="BN14" s="9">
        <v>45</v>
      </c>
      <c r="BO14" s="39">
        <f>BN17*BN14/1000*0.8288</f>
        <v>4.4755200000000004</v>
      </c>
      <c r="BP14" s="87">
        <f>BN17*BN14/1000*(1-0.8288)</f>
        <v>0.92448000000000019</v>
      </c>
      <c r="BQ14" s="9">
        <v>45</v>
      </c>
      <c r="BR14" s="39">
        <f>BQ17*BQ14/1000*0.8288</f>
        <v>4.4755200000000004</v>
      </c>
      <c r="BS14" s="87">
        <f>BQ17*BQ14/1000*(1-0.8288)</f>
        <v>0.92448000000000019</v>
      </c>
      <c r="BT14" s="9">
        <v>36</v>
      </c>
      <c r="BU14" s="39">
        <f>BT17*BT14/1000*0.8288</f>
        <v>3.580416</v>
      </c>
      <c r="BV14" s="87">
        <f>BT17*BT14/1000*(1-0.8288)</f>
        <v>0.73958400000000013</v>
      </c>
      <c r="BW14" s="9">
        <v>36</v>
      </c>
      <c r="BX14" s="39">
        <f>BW17*BW14/1000*0.8288</f>
        <v>3.580416</v>
      </c>
      <c r="BY14" s="87">
        <f>BW17*BW14/1000*(1-0.8288)</f>
        <v>0.73958400000000013</v>
      </c>
      <c r="BZ14" s="9">
        <v>36</v>
      </c>
      <c r="CA14" s="39">
        <f>BZ17*BZ14/1000*0.8288</f>
        <v>3.580416</v>
      </c>
      <c r="CB14" s="87">
        <f>BZ17*BZ14/1000*(1-0.8288)</f>
        <v>0.73958400000000013</v>
      </c>
    </row>
    <row r="15" spans="1:80" ht="18" customHeight="1" thickBot="1" x14ac:dyDescent="0.3">
      <c r="A15" s="1026"/>
      <c r="B15" s="1027"/>
      <c r="C15" s="1028"/>
      <c r="D15" s="1033"/>
      <c r="E15" s="1026"/>
      <c r="F15" s="1028"/>
      <c r="G15" s="1023" t="s">
        <v>46</v>
      </c>
      <c r="H15" s="1025"/>
      <c r="I15" s="40">
        <v>450</v>
      </c>
      <c r="J15" s="63">
        <f>I18*I15/1000*0.8892</f>
        <v>4.0014000000000003</v>
      </c>
      <c r="K15" s="88">
        <f>I18*I15/1000*(1-0.8892)</f>
        <v>0.49860000000000004</v>
      </c>
      <c r="L15" s="40">
        <v>450</v>
      </c>
      <c r="M15" s="63">
        <f>L18*L15/1000*0.8892</f>
        <v>4.0014000000000003</v>
      </c>
      <c r="N15" s="88">
        <f>L18*L15/1000*(1-0.8892)</f>
        <v>0.49860000000000004</v>
      </c>
      <c r="O15" s="40">
        <v>450</v>
      </c>
      <c r="P15" s="63">
        <f>O18*O15/1000*0.8892</f>
        <v>4.0014000000000003</v>
      </c>
      <c r="Q15" s="88">
        <f>O18*O15/1000*(1-0.8892)</f>
        <v>0.49860000000000004</v>
      </c>
      <c r="R15" s="40">
        <v>450</v>
      </c>
      <c r="S15" s="63">
        <f>R18*R15/1000*0.8892</f>
        <v>4.0014000000000003</v>
      </c>
      <c r="T15" s="88">
        <f>R18*R15/1000*(1-0.8892)</f>
        <v>0.49860000000000004</v>
      </c>
      <c r="U15" s="40">
        <v>450</v>
      </c>
      <c r="V15" s="63">
        <f>U18*U15/1000*0.8892</f>
        <v>4.0014000000000003</v>
      </c>
      <c r="W15" s="88">
        <f>U18*U15/1000*(1-0.8892)</f>
        <v>0.49860000000000004</v>
      </c>
      <c r="X15" s="40">
        <v>450</v>
      </c>
      <c r="Y15" s="63">
        <f>X18*X15/1000*0.8892</f>
        <v>4.0014000000000003</v>
      </c>
      <c r="Z15" s="88">
        <f>X18*X15/1000*(1-0.8892)</f>
        <v>0.49860000000000004</v>
      </c>
      <c r="AA15" s="40">
        <v>450</v>
      </c>
      <c r="AB15" s="63">
        <f>AA18*AA15/1000*0.8892</f>
        <v>4.0014000000000003</v>
      </c>
      <c r="AC15" s="88">
        <f>AA18*AA15/1000*(1-0.8892)</f>
        <v>0.49860000000000004</v>
      </c>
      <c r="AD15" s="40">
        <v>450</v>
      </c>
      <c r="AE15" s="63">
        <f>AD18*AD15/1000*0.8892</f>
        <v>4.0014000000000003</v>
      </c>
      <c r="AF15" s="88">
        <f>AD18*AD15/1000*(1-0.8892)</f>
        <v>0.49860000000000004</v>
      </c>
      <c r="AG15" s="40">
        <v>595</v>
      </c>
      <c r="AH15" s="63">
        <f>AG18*AG15/1000*0.8892</f>
        <v>5.2907400000000004</v>
      </c>
      <c r="AI15" s="88">
        <f>AG18*AG15/1000*(1-0.8892)</f>
        <v>0.65926000000000007</v>
      </c>
      <c r="AJ15" s="40">
        <v>595</v>
      </c>
      <c r="AK15" s="63">
        <f>AJ18*AJ15/1000*0.8892</f>
        <v>5.2907400000000004</v>
      </c>
      <c r="AL15" s="88">
        <f>AJ18*AJ15/1000*(1-0.8892)</f>
        <v>0.65926000000000007</v>
      </c>
      <c r="AM15" s="40">
        <v>595</v>
      </c>
      <c r="AN15" s="63">
        <f>AM18*AM15/1000*0.8892</f>
        <v>5.2907400000000004</v>
      </c>
      <c r="AO15" s="88">
        <f>AM18*AM15/1000*(1-0.8892)</f>
        <v>0.65926000000000007</v>
      </c>
      <c r="AP15" s="40">
        <v>595</v>
      </c>
      <c r="AQ15" s="63">
        <f>AP18*AP15/1000*0.8892</f>
        <v>5.2907400000000004</v>
      </c>
      <c r="AR15" s="88">
        <f>AP18*AP15/1000*(1-0.8892)</f>
        <v>0.65926000000000007</v>
      </c>
      <c r="AS15" s="40">
        <v>595</v>
      </c>
      <c r="AT15" s="63">
        <f>AS18*AS15/1000*0.8892</f>
        <v>5.2907400000000004</v>
      </c>
      <c r="AU15" s="88">
        <f>AS18*AS15/1000*(1-0.8892)</f>
        <v>0.65926000000000007</v>
      </c>
      <c r="AV15" s="40">
        <v>595</v>
      </c>
      <c r="AW15" s="63">
        <f>AV18*AV15/1000*0.8892</f>
        <v>5.2907400000000004</v>
      </c>
      <c r="AX15" s="88">
        <f>AV18*AV15/1000*(1-0.8892)</f>
        <v>0.65926000000000007</v>
      </c>
      <c r="AY15" s="40">
        <v>645</v>
      </c>
      <c r="AZ15" s="63">
        <f>AY18*AY15/1000*0.8892</f>
        <v>5.7353399999999999</v>
      </c>
      <c r="BA15" s="88">
        <f>AY18*AY15/1000*(1-0.8892)</f>
        <v>0.71466000000000007</v>
      </c>
      <c r="BB15" s="40">
        <v>645</v>
      </c>
      <c r="BC15" s="63">
        <f>BB18*BB15/1000*0.8892</f>
        <v>5.7353399999999999</v>
      </c>
      <c r="BD15" s="88">
        <f>BB18*BB15/1000*(1-0.8892)</f>
        <v>0.71466000000000007</v>
      </c>
      <c r="BE15" s="40">
        <v>645</v>
      </c>
      <c r="BF15" s="63">
        <f>BE18*BE15/1000*0.8892</f>
        <v>5.7353399999999999</v>
      </c>
      <c r="BG15" s="88">
        <f>BE18*BE15/1000*(1-0.8892)</f>
        <v>0.71466000000000007</v>
      </c>
      <c r="BH15" s="40">
        <v>645</v>
      </c>
      <c r="BI15" s="63">
        <f>BH18*BH15/1000*0.8892</f>
        <v>5.7353399999999999</v>
      </c>
      <c r="BJ15" s="88">
        <f>BH18*BH15/1000*(1-0.8892)</f>
        <v>0.71466000000000007</v>
      </c>
      <c r="BK15" s="40">
        <v>645</v>
      </c>
      <c r="BL15" s="63">
        <f>BK18*BK15/1000*0.8892</f>
        <v>5.7353399999999999</v>
      </c>
      <c r="BM15" s="88">
        <f>BK18*BK15/1000*(1-0.8892)</f>
        <v>0.71466000000000007</v>
      </c>
      <c r="BN15" s="40">
        <v>610</v>
      </c>
      <c r="BO15" s="63">
        <f>BN18*BN15/1000*0.8892</f>
        <v>5.4241199999999994</v>
      </c>
      <c r="BP15" s="88">
        <f>BN18*BN15/1000*(1-0.8892)</f>
        <v>0.67588000000000004</v>
      </c>
      <c r="BQ15" s="40">
        <v>610</v>
      </c>
      <c r="BR15" s="63">
        <f>BQ18*BQ15/1000*0.8892</f>
        <v>5.4241199999999994</v>
      </c>
      <c r="BS15" s="88">
        <f>BQ18*BQ15/1000*(1-0.8892)</f>
        <v>0.67588000000000004</v>
      </c>
      <c r="BT15" s="40">
        <v>450</v>
      </c>
      <c r="BU15" s="63">
        <f>BT18*BT15/1000*0.8892</f>
        <v>4.0014000000000003</v>
      </c>
      <c r="BV15" s="88">
        <f>BT18*BT15/1000*(1-0.8892)</f>
        <v>0.49860000000000004</v>
      </c>
      <c r="BW15" s="40">
        <v>450</v>
      </c>
      <c r="BX15" s="63">
        <f>BW18*BW15/1000*0.8892</f>
        <v>4.0014000000000003</v>
      </c>
      <c r="BY15" s="88">
        <f>BW18*BW15/1000*(1-0.8892)</f>
        <v>0.49860000000000004</v>
      </c>
      <c r="BZ15" s="40">
        <v>450</v>
      </c>
      <c r="CA15" s="63">
        <f>BZ18*BZ15/1000*0.8892</f>
        <v>4.0014000000000003</v>
      </c>
      <c r="CB15" s="88">
        <f>BZ18*BZ15/1000*(1-0.8892)</f>
        <v>0.49860000000000004</v>
      </c>
    </row>
    <row r="16" spans="1:80" ht="18" customHeight="1" thickBot="1" x14ac:dyDescent="0.3">
      <c r="A16" s="1026"/>
      <c r="B16" s="1027"/>
      <c r="C16" s="1028"/>
      <c r="D16" s="1033"/>
      <c r="E16" s="1037" t="s">
        <v>15</v>
      </c>
      <c r="F16" s="1038"/>
      <c r="G16" s="1038"/>
      <c r="H16" s="1039"/>
      <c r="I16" s="1107">
        <v>5</v>
      </c>
      <c r="J16" s="1108"/>
      <c r="K16" s="1109"/>
      <c r="L16" s="1107">
        <v>5</v>
      </c>
      <c r="M16" s="1108"/>
      <c r="N16" s="1109"/>
      <c r="O16" s="1107">
        <v>5</v>
      </c>
      <c r="P16" s="1108"/>
      <c r="Q16" s="1109"/>
      <c r="R16" s="1107">
        <v>5</v>
      </c>
      <c r="S16" s="1108"/>
      <c r="T16" s="1109"/>
      <c r="U16" s="1107">
        <v>5</v>
      </c>
      <c r="V16" s="1108"/>
      <c r="W16" s="1109"/>
      <c r="X16" s="1107">
        <v>5</v>
      </c>
      <c r="Y16" s="1108"/>
      <c r="Z16" s="1109"/>
      <c r="AA16" s="1107">
        <v>5</v>
      </c>
      <c r="AB16" s="1108"/>
      <c r="AC16" s="1109"/>
      <c r="AD16" s="1107">
        <v>5</v>
      </c>
      <c r="AE16" s="1108"/>
      <c r="AF16" s="1109"/>
      <c r="AG16" s="1107">
        <v>5</v>
      </c>
      <c r="AH16" s="1108"/>
      <c r="AI16" s="1109"/>
      <c r="AJ16" s="1107">
        <v>5</v>
      </c>
      <c r="AK16" s="1108"/>
      <c r="AL16" s="1109"/>
      <c r="AM16" s="1107">
        <v>5</v>
      </c>
      <c r="AN16" s="1108"/>
      <c r="AO16" s="1109"/>
      <c r="AP16" s="1107">
        <v>5</v>
      </c>
      <c r="AQ16" s="1108"/>
      <c r="AR16" s="1109"/>
      <c r="AS16" s="1107">
        <v>5</v>
      </c>
      <c r="AT16" s="1108"/>
      <c r="AU16" s="1109"/>
      <c r="AV16" s="1107">
        <v>5</v>
      </c>
      <c r="AW16" s="1108"/>
      <c r="AX16" s="1109"/>
      <c r="AY16" s="1107">
        <v>5</v>
      </c>
      <c r="AZ16" s="1108"/>
      <c r="BA16" s="1109"/>
      <c r="BB16" s="1107">
        <v>5</v>
      </c>
      <c r="BC16" s="1108"/>
      <c r="BD16" s="1109"/>
      <c r="BE16" s="1107">
        <v>5</v>
      </c>
      <c r="BF16" s="1108"/>
      <c r="BG16" s="1109"/>
      <c r="BH16" s="1107">
        <v>5</v>
      </c>
      <c r="BI16" s="1108"/>
      <c r="BJ16" s="1109"/>
      <c r="BK16" s="1107">
        <v>5</v>
      </c>
      <c r="BL16" s="1108"/>
      <c r="BM16" s="1109"/>
      <c r="BN16" s="1107">
        <v>5</v>
      </c>
      <c r="BO16" s="1108"/>
      <c r="BP16" s="1109"/>
      <c r="BQ16" s="1107">
        <v>5</v>
      </c>
      <c r="BR16" s="1108"/>
      <c r="BS16" s="1109"/>
      <c r="BT16" s="1107">
        <v>5</v>
      </c>
      <c r="BU16" s="1108"/>
      <c r="BV16" s="1109"/>
      <c r="BW16" s="1107">
        <v>5</v>
      </c>
      <c r="BX16" s="1108"/>
      <c r="BY16" s="1109"/>
      <c r="BZ16" s="1107">
        <v>5</v>
      </c>
      <c r="CA16" s="1108"/>
      <c r="CB16" s="1109"/>
    </row>
    <row r="17" spans="1:80" ht="18" customHeight="1" thickBot="1" x14ac:dyDescent="0.3">
      <c r="A17" s="1026"/>
      <c r="B17" s="1027"/>
      <c r="C17" s="1028"/>
      <c r="D17" s="1033"/>
      <c r="E17" s="1023" t="s">
        <v>14</v>
      </c>
      <c r="F17" s="1025"/>
      <c r="G17" s="1035" t="s">
        <v>55</v>
      </c>
      <c r="H17" s="1036"/>
      <c r="I17" s="1113">
        <v>120</v>
      </c>
      <c r="J17" s="1114"/>
      <c r="K17" s="1115"/>
      <c r="L17" s="1113">
        <v>120</v>
      </c>
      <c r="M17" s="1114"/>
      <c r="N17" s="1115"/>
      <c r="O17" s="1113">
        <v>120</v>
      </c>
      <c r="P17" s="1114"/>
      <c r="Q17" s="1115"/>
      <c r="R17" s="1113">
        <v>120</v>
      </c>
      <c r="S17" s="1114"/>
      <c r="T17" s="1115"/>
      <c r="U17" s="1113">
        <v>120</v>
      </c>
      <c r="V17" s="1114"/>
      <c r="W17" s="1115"/>
      <c r="X17" s="1113">
        <v>120</v>
      </c>
      <c r="Y17" s="1114"/>
      <c r="Z17" s="1115"/>
      <c r="AA17" s="1113">
        <v>120</v>
      </c>
      <c r="AB17" s="1114"/>
      <c r="AC17" s="1115"/>
      <c r="AD17" s="1113">
        <v>120</v>
      </c>
      <c r="AE17" s="1114"/>
      <c r="AF17" s="1115"/>
      <c r="AG17" s="1113">
        <v>120</v>
      </c>
      <c r="AH17" s="1114"/>
      <c r="AI17" s="1115"/>
      <c r="AJ17" s="1113">
        <v>120</v>
      </c>
      <c r="AK17" s="1114"/>
      <c r="AL17" s="1115"/>
      <c r="AM17" s="1113">
        <v>120</v>
      </c>
      <c r="AN17" s="1114"/>
      <c r="AO17" s="1115"/>
      <c r="AP17" s="1113">
        <v>120</v>
      </c>
      <c r="AQ17" s="1114"/>
      <c r="AR17" s="1115"/>
      <c r="AS17" s="1113">
        <v>120</v>
      </c>
      <c r="AT17" s="1114"/>
      <c r="AU17" s="1115"/>
      <c r="AV17" s="1113">
        <v>120</v>
      </c>
      <c r="AW17" s="1114"/>
      <c r="AX17" s="1115"/>
      <c r="AY17" s="1113">
        <v>120</v>
      </c>
      <c r="AZ17" s="1114"/>
      <c r="BA17" s="1115"/>
      <c r="BB17" s="1113">
        <v>120</v>
      </c>
      <c r="BC17" s="1114"/>
      <c r="BD17" s="1115"/>
      <c r="BE17" s="1113">
        <v>120</v>
      </c>
      <c r="BF17" s="1114"/>
      <c r="BG17" s="1115"/>
      <c r="BH17" s="1113">
        <v>120</v>
      </c>
      <c r="BI17" s="1114"/>
      <c r="BJ17" s="1115"/>
      <c r="BK17" s="1113">
        <v>120</v>
      </c>
      <c r="BL17" s="1114"/>
      <c r="BM17" s="1115"/>
      <c r="BN17" s="1113">
        <v>120</v>
      </c>
      <c r="BO17" s="1114"/>
      <c r="BP17" s="1115"/>
      <c r="BQ17" s="1113">
        <v>120</v>
      </c>
      <c r="BR17" s="1114"/>
      <c r="BS17" s="1115"/>
      <c r="BT17" s="1113">
        <v>120</v>
      </c>
      <c r="BU17" s="1114"/>
      <c r="BV17" s="1115"/>
      <c r="BW17" s="1113">
        <v>120</v>
      </c>
      <c r="BX17" s="1114"/>
      <c r="BY17" s="1115"/>
      <c r="BZ17" s="1113">
        <v>120</v>
      </c>
      <c r="CA17" s="1114"/>
      <c r="CB17" s="1115"/>
    </row>
    <row r="18" spans="1:80" ht="18" customHeight="1" thickBot="1" x14ac:dyDescent="0.3">
      <c r="A18" s="1026"/>
      <c r="B18" s="1027"/>
      <c r="C18" s="1028"/>
      <c r="D18" s="1033"/>
      <c r="E18" s="1026"/>
      <c r="F18" s="1028"/>
      <c r="G18" s="1023" t="s">
        <v>46</v>
      </c>
      <c r="H18" s="1025"/>
      <c r="I18" s="1110">
        <v>10</v>
      </c>
      <c r="J18" s="1111"/>
      <c r="K18" s="1112"/>
      <c r="L18" s="1110">
        <v>10</v>
      </c>
      <c r="M18" s="1111"/>
      <c r="N18" s="1112"/>
      <c r="O18" s="1110">
        <v>10</v>
      </c>
      <c r="P18" s="1111"/>
      <c r="Q18" s="1112"/>
      <c r="R18" s="1110">
        <v>10</v>
      </c>
      <c r="S18" s="1111"/>
      <c r="T18" s="1112"/>
      <c r="U18" s="1110">
        <v>10</v>
      </c>
      <c r="V18" s="1111"/>
      <c r="W18" s="1112"/>
      <c r="X18" s="1110">
        <v>10</v>
      </c>
      <c r="Y18" s="1111"/>
      <c r="Z18" s="1112"/>
      <c r="AA18" s="1110">
        <v>10</v>
      </c>
      <c r="AB18" s="1111"/>
      <c r="AC18" s="1112"/>
      <c r="AD18" s="1110">
        <v>10</v>
      </c>
      <c r="AE18" s="1111"/>
      <c r="AF18" s="1112"/>
      <c r="AG18" s="1110">
        <v>10</v>
      </c>
      <c r="AH18" s="1111"/>
      <c r="AI18" s="1112"/>
      <c r="AJ18" s="1110">
        <v>10</v>
      </c>
      <c r="AK18" s="1111"/>
      <c r="AL18" s="1112"/>
      <c r="AM18" s="1110">
        <v>10</v>
      </c>
      <c r="AN18" s="1111"/>
      <c r="AO18" s="1112"/>
      <c r="AP18" s="1110">
        <v>10</v>
      </c>
      <c r="AQ18" s="1111"/>
      <c r="AR18" s="1112"/>
      <c r="AS18" s="1110">
        <v>10</v>
      </c>
      <c r="AT18" s="1111"/>
      <c r="AU18" s="1112"/>
      <c r="AV18" s="1110">
        <v>10</v>
      </c>
      <c r="AW18" s="1111"/>
      <c r="AX18" s="1112"/>
      <c r="AY18" s="1110">
        <v>10</v>
      </c>
      <c r="AZ18" s="1111"/>
      <c r="BA18" s="1112"/>
      <c r="BB18" s="1110">
        <v>10</v>
      </c>
      <c r="BC18" s="1111"/>
      <c r="BD18" s="1112"/>
      <c r="BE18" s="1110">
        <v>10</v>
      </c>
      <c r="BF18" s="1111"/>
      <c r="BG18" s="1112"/>
      <c r="BH18" s="1110">
        <v>10</v>
      </c>
      <c r="BI18" s="1111"/>
      <c r="BJ18" s="1112"/>
      <c r="BK18" s="1110">
        <v>10</v>
      </c>
      <c r="BL18" s="1111"/>
      <c r="BM18" s="1112"/>
      <c r="BN18" s="1110">
        <v>10</v>
      </c>
      <c r="BO18" s="1111"/>
      <c r="BP18" s="1112"/>
      <c r="BQ18" s="1110">
        <v>10</v>
      </c>
      <c r="BR18" s="1111"/>
      <c r="BS18" s="1112"/>
      <c r="BT18" s="1110">
        <v>10</v>
      </c>
      <c r="BU18" s="1111"/>
      <c r="BV18" s="1112"/>
      <c r="BW18" s="1110">
        <v>10</v>
      </c>
      <c r="BX18" s="1111"/>
      <c r="BY18" s="1112"/>
      <c r="BZ18" s="1110">
        <v>10</v>
      </c>
      <c r="CA18" s="1111"/>
      <c r="CB18" s="1112"/>
    </row>
    <row r="19" spans="1:80" ht="18" customHeight="1" thickBot="1" x14ac:dyDescent="0.3">
      <c r="A19" s="1029"/>
      <c r="B19" s="1030"/>
      <c r="C19" s="1031"/>
      <c r="D19" s="1034"/>
      <c r="E19" s="1037" t="s">
        <v>31</v>
      </c>
      <c r="F19" s="1038"/>
      <c r="G19" s="1037"/>
      <c r="H19" s="1039"/>
      <c r="I19" s="1107"/>
      <c r="J19" s="1108"/>
      <c r="K19" s="1109"/>
      <c r="L19" s="1107"/>
      <c r="M19" s="1108"/>
      <c r="N19" s="1109"/>
      <c r="O19" s="1107"/>
      <c r="P19" s="1108"/>
      <c r="Q19" s="1109"/>
      <c r="R19" s="1107"/>
      <c r="S19" s="1108"/>
      <c r="T19" s="1109"/>
      <c r="U19" s="1107"/>
      <c r="V19" s="1108"/>
      <c r="W19" s="1109"/>
      <c r="X19" s="1107"/>
      <c r="Y19" s="1108"/>
      <c r="Z19" s="1109"/>
      <c r="AA19" s="1107"/>
      <c r="AB19" s="1108"/>
      <c r="AC19" s="1109"/>
      <c r="AD19" s="1107"/>
      <c r="AE19" s="1108"/>
      <c r="AF19" s="1109"/>
      <c r="AG19" s="1107"/>
      <c r="AH19" s="1108"/>
      <c r="AI19" s="1109"/>
      <c r="AJ19" s="1107"/>
      <c r="AK19" s="1108"/>
      <c r="AL19" s="1109"/>
      <c r="AM19" s="1107"/>
      <c r="AN19" s="1108"/>
      <c r="AO19" s="1109"/>
      <c r="AP19" s="1107"/>
      <c r="AQ19" s="1108"/>
      <c r="AR19" s="1109"/>
      <c r="AS19" s="1107"/>
      <c r="AT19" s="1108"/>
      <c r="AU19" s="1109"/>
      <c r="AV19" s="1107"/>
      <c r="AW19" s="1108"/>
      <c r="AX19" s="1109"/>
      <c r="AY19" s="1107"/>
      <c r="AZ19" s="1108"/>
      <c r="BA19" s="1109"/>
      <c r="BB19" s="1107"/>
      <c r="BC19" s="1108"/>
      <c r="BD19" s="1109"/>
      <c r="BE19" s="1107"/>
      <c r="BF19" s="1108"/>
      <c r="BG19" s="1109"/>
      <c r="BH19" s="1107"/>
      <c r="BI19" s="1108"/>
      <c r="BJ19" s="1109"/>
      <c r="BK19" s="1107"/>
      <c r="BL19" s="1108"/>
      <c r="BM19" s="1109"/>
      <c r="BN19" s="1107"/>
      <c r="BO19" s="1108"/>
      <c r="BP19" s="1109"/>
      <c r="BQ19" s="1107"/>
      <c r="BR19" s="1108"/>
      <c r="BS19" s="1109"/>
      <c r="BT19" s="1107"/>
      <c r="BU19" s="1108"/>
      <c r="BV19" s="1109"/>
      <c r="BW19" s="1107"/>
      <c r="BX19" s="1108"/>
      <c r="BY19" s="1109"/>
      <c r="BZ19" s="1107"/>
      <c r="CA19" s="1108"/>
      <c r="CB19" s="1109"/>
    </row>
    <row r="20" spans="1:80" ht="18" customHeight="1" thickBot="1" x14ac:dyDescent="0.3">
      <c r="A20" s="1023" t="s">
        <v>16</v>
      </c>
      <c r="B20" s="1024"/>
      <c r="C20" s="1025"/>
      <c r="D20" s="1032">
        <v>25</v>
      </c>
      <c r="E20" s="1023" t="s">
        <v>13</v>
      </c>
      <c r="F20" s="1025"/>
      <c r="G20" s="1035" t="s">
        <v>55</v>
      </c>
      <c r="H20" s="1036"/>
      <c r="I20" s="9">
        <v>33</v>
      </c>
      <c r="J20" s="39">
        <f>I23*I20/1000*0.8524</f>
        <v>3.1504704000000001</v>
      </c>
      <c r="K20" s="87">
        <f>I23*I20/1000*(1-0.8524)</f>
        <v>0.54552959999999984</v>
      </c>
      <c r="L20" s="9">
        <v>33</v>
      </c>
      <c r="M20" s="39">
        <f>L23*L20/1000*0.8524</f>
        <v>3.1504704000000001</v>
      </c>
      <c r="N20" s="87">
        <f>L23*L20/1000*(1-0.8524)</f>
        <v>0.54552959999999984</v>
      </c>
      <c r="O20" s="9">
        <v>33</v>
      </c>
      <c r="P20" s="39">
        <f>O23*O20/1000*0.8524</f>
        <v>3.1504704000000001</v>
      </c>
      <c r="Q20" s="87">
        <f>O23*O20/1000*(1-0.8524)</f>
        <v>0.54552959999999984</v>
      </c>
      <c r="R20" s="9">
        <v>33</v>
      </c>
      <c r="S20" s="39">
        <f>R23*R20/1000*0.8524</f>
        <v>3.1504704000000001</v>
      </c>
      <c r="T20" s="87">
        <f>R23*R20/1000*(1-0.8524)</f>
        <v>0.54552959999999984</v>
      </c>
      <c r="U20" s="9">
        <v>33</v>
      </c>
      <c r="V20" s="39">
        <f>U23*U20/1000*0.8524</f>
        <v>3.1504704000000001</v>
      </c>
      <c r="W20" s="87">
        <f>U23*U20/1000*(1-0.8524)</f>
        <v>0.54552959999999984</v>
      </c>
      <c r="X20" s="9">
        <v>33</v>
      </c>
      <c r="Y20" s="39">
        <f>X23*X20/1000*0.8524</f>
        <v>3.1504704000000001</v>
      </c>
      <c r="Z20" s="87">
        <f>X23*X20/1000*(1-0.8524)</f>
        <v>0.54552959999999984</v>
      </c>
      <c r="AA20" s="9">
        <v>33</v>
      </c>
      <c r="AB20" s="39">
        <f>AA23*AA20/1000*0.8524</f>
        <v>3.1504704000000001</v>
      </c>
      <c r="AC20" s="87">
        <f>AA23*AA20/1000*(1-0.8524)</f>
        <v>0.54552959999999984</v>
      </c>
      <c r="AD20" s="9">
        <v>33</v>
      </c>
      <c r="AE20" s="39">
        <f>AD23*AD20/1000*0.8524</f>
        <v>3.1504704000000001</v>
      </c>
      <c r="AF20" s="87">
        <f>AD23*AD20/1000*(1-0.8524)</f>
        <v>0.54552959999999984</v>
      </c>
      <c r="AG20" s="9">
        <v>40</v>
      </c>
      <c r="AH20" s="39">
        <f>AG23*AG20/1000*0.8524</f>
        <v>3.8187520000000004</v>
      </c>
      <c r="AI20" s="87">
        <f>AG23*AG20/1000*(1-0.8524)</f>
        <v>0.66124799999999984</v>
      </c>
      <c r="AJ20" s="9">
        <v>40</v>
      </c>
      <c r="AK20" s="39">
        <f>AJ23*AJ20/1000*0.8524</f>
        <v>3.8187520000000004</v>
      </c>
      <c r="AL20" s="87">
        <f>AJ23*AJ20/1000*(1-0.8524)</f>
        <v>0.66124799999999984</v>
      </c>
      <c r="AM20" s="9">
        <v>40</v>
      </c>
      <c r="AN20" s="39">
        <f>AM23*AM20/1000*0.8524</f>
        <v>3.8187520000000004</v>
      </c>
      <c r="AO20" s="87">
        <f>AM23*AM20/1000*(1-0.8524)</f>
        <v>0.66124799999999984</v>
      </c>
      <c r="AP20" s="9">
        <v>40</v>
      </c>
      <c r="AQ20" s="39">
        <f>AP23*AP20/1000*0.8524</f>
        <v>3.8187520000000004</v>
      </c>
      <c r="AR20" s="87">
        <f>AP23*AP20/1000*(1-0.8524)</f>
        <v>0.66124799999999984</v>
      </c>
      <c r="AS20" s="9">
        <v>40</v>
      </c>
      <c r="AT20" s="39">
        <f>AS23*AS20/1000*0.8524</f>
        <v>3.8187520000000004</v>
      </c>
      <c r="AU20" s="87">
        <f>AS23*AS20/1000*(1-0.8524)</f>
        <v>0.66124799999999984</v>
      </c>
      <c r="AV20" s="9">
        <v>40</v>
      </c>
      <c r="AW20" s="39">
        <f>AV23*AV20/1000*0.8524</f>
        <v>3.8187520000000004</v>
      </c>
      <c r="AX20" s="87">
        <f>AV23*AV20/1000*(1-0.8524)</f>
        <v>0.66124799999999984</v>
      </c>
      <c r="AY20" s="9">
        <v>44</v>
      </c>
      <c r="AZ20" s="39">
        <f>AY23*AY20/1000*0.8524</f>
        <v>4.2006272000000004</v>
      </c>
      <c r="BA20" s="87">
        <f>AY23*AY20/1000*(1-0.8524)</f>
        <v>0.72737279999999971</v>
      </c>
      <c r="BB20" s="9">
        <v>44</v>
      </c>
      <c r="BC20" s="39">
        <f>BB23*BB20/1000*0.8524</f>
        <v>4.2006272000000004</v>
      </c>
      <c r="BD20" s="87">
        <f>BB23*BB20/1000*(1-0.8524)</f>
        <v>0.72737279999999971</v>
      </c>
      <c r="BE20" s="9">
        <v>44</v>
      </c>
      <c r="BF20" s="39">
        <f>BE23*BE20/1000*0.8524</f>
        <v>4.2006272000000004</v>
      </c>
      <c r="BG20" s="87">
        <f>BE23*BE20/1000*(1-0.8524)</f>
        <v>0.72737279999999971</v>
      </c>
      <c r="BH20" s="9">
        <v>44</v>
      </c>
      <c r="BI20" s="39">
        <f>BH23*BH20/1000*0.8524</f>
        <v>4.2006272000000004</v>
      </c>
      <c r="BJ20" s="87">
        <f>BH23*BH20/1000*(1-0.8524)</f>
        <v>0.72737279999999971</v>
      </c>
      <c r="BK20" s="9">
        <v>44</v>
      </c>
      <c r="BL20" s="39">
        <f>BK23*BK20/1000*0.8524</f>
        <v>4.2006272000000004</v>
      </c>
      <c r="BM20" s="87">
        <f>BK23*BK20/1000*(1-0.8524)</f>
        <v>0.72737279999999971</v>
      </c>
      <c r="BN20" s="9">
        <v>40</v>
      </c>
      <c r="BO20" s="39">
        <f>BN23*BN20/1000*0.8524</f>
        <v>3.8187520000000004</v>
      </c>
      <c r="BP20" s="87">
        <f>BN23*BN20/1000*(1-0.8524)</f>
        <v>0.66124799999999984</v>
      </c>
      <c r="BQ20" s="9">
        <v>40</v>
      </c>
      <c r="BR20" s="39">
        <f>BQ23*BQ20/1000*0.8524</f>
        <v>3.8187520000000004</v>
      </c>
      <c r="BS20" s="87">
        <f>BQ23*BQ20/1000*(1-0.8524)</f>
        <v>0.66124799999999984</v>
      </c>
      <c r="BT20" s="9">
        <v>30</v>
      </c>
      <c r="BU20" s="39">
        <f>BT23*BT20/1000*0.8524</f>
        <v>2.8640639999999999</v>
      </c>
      <c r="BV20" s="87">
        <f>BT23*BT20/1000*(1-0.8524)</f>
        <v>0.49593599999999982</v>
      </c>
      <c r="BW20" s="9">
        <v>30</v>
      </c>
      <c r="BX20" s="39">
        <f>BW23*BW20/1000*0.8524</f>
        <v>2.8640639999999999</v>
      </c>
      <c r="BY20" s="87">
        <f>BW23*BW20/1000*(1-0.8524)</f>
        <v>0.49593599999999982</v>
      </c>
      <c r="BZ20" s="9">
        <v>30</v>
      </c>
      <c r="CA20" s="39">
        <f>BZ23*BZ20/1000*0.8524</f>
        <v>2.8640639999999999</v>
      </c>
      <c r="CB20" s="87">
        <f>BZ23*BZ20/1000*(1-0.8524)</f>
        <v>0.49593599999999982</v>
      </c>
    </row>
    <row r="21" spans="1:80" ht="18" customHeight="1" thickBot="1" x14ac:dyDescent="0.3">
      <c r="A21" s="1026"/>
      <c r="B21" s="1027"/>
      <c r="C21" s="1028"/>
      <c r="D21" s="1033"/>
      <c r="E21" s="1026"/>
      <c r="F21" s="1028"/>
      <c r="G21" s="1023" t="s">
        <v>46</v>
      </c>
      <c r="H21" s="1025"/>
      <c r="I21" s="40">
        <v>390</v>
      </c>
      <c r="J21" s="63">
        <f>I24*I21/1000*0.8935</f>
        <v>3.6240359999999998</v>
      </c>
      <c r="K21" s="88">
        <f>I24*I21/1000*(1-0.8935)</f>
        <v>0.43196400000000018</v>
      </c>
      <c r="L21" s="40">
        <v>390</v>
      </c>
      <c r="M21" s="63">
        <f>L24*L21/1000*0.8935</f>
        <v>3.6240359999999998</v>
      </c>
      <c r="N21" s="88">
        <f>L24*L21/1000*(1-0.8935)</f>
        <v>0.43196400000000018</v>
      </c>
      <c r="O21" s="40">
        <v>390</v>
      </c>
      <c r="P21" s="63">
        <f>O24*O21/1000*0.8935</f>
        <v>3.6240359999999998</v>
      </c>
      <c r="Q21" s="88">
        <f>O24*O21/1000*(1-0.8935)</f>
        <v>0.43196400000000018</v>
      </c>
      <c r="R21" s="40">
        <v>390</v>
      </c>
      <c r="S21" s="63">
        <f>R24*R21/1000*0.8935</f>
        <v>3.6240359999999998</v>
      </c>
      <c r="T21" s="88">
        <f>R24*R21/1000*(1-0.8935)</f>
        <v>0.43196400000000018</v>
      </c>
      <c r="U21" s="40">
        <v>390</v>
      </c>
      <c r="V21" s="63">
        <f>U24*U21/1000*0.8935</f>
        <v>3.6240359999999998</v>
      </c>
      <c r="W21" s="88">
        <f>U24*U21/1000*(1-0.8935)</f>
        <v>0.43196400000000018</v>
      </c>
      <c r="X21" s="40">
        <v>390</v>
      </c>
      <c r="Y21" s="63">
        <f>X24*X21/1000*0.8935</f>
        <v>3.6240359999999998</v>
      </c>
      <c r="Z21" s="88">
        <f>X24*X21/1000*(1-0.8935)</f>
        <v>0.43196400000000018</v>
      </c>
      <c r="AA21" s="40">
        <v>390</v>
      </c>
      <c r="AB21" s="63">
        <f>AA24*AA21/1000*0.8935</f>
        <v>3.6240359999999998</v>
      </c>
      <c r="AC21" s="88">
        <f>AA24*AA21/1000*(1-0.8935)</f>
        <v>0.43196400000000018</v>
      </c>
      <c r="AD21" s="40">
        <v>390</v>
      </c>
      <c r="AE21" s="63">
        <f>AD24*AD21/1000*0.8935</f>
        <v>3.6240359999999998</v>
      </c>
      <c r="AF21" s="88">
        <f>AD24*AD21/1000*(1-0.8935)</f>
        <v>0.43196400000000018</v>
      </c>
      <c r="AG21" s="40">
        <v>495</v>
      </c>
      <c r="AH21" s="63">
        <f>AG24*AG21/1000*0.8935</f>
        <v>4.5997379999999994</v>
      </c>
      <c r="AI21" s="88">
        <f>AG24*AG21/1000*(1-0.8935)</f>
        <v>0.54826200000000014</v>
      </c>
      <c r="AJ21" s="40">
        <v>495</v>
      </c>
      <c r="AK21" s="63">
        <f>AJ24*AJ21/1000*0.8935</f>
        <v>4.5997379999999994</v>
      </c>
      <c r="AL21" s="88">
        <f>AJ24*AJ21/1000*(1-0.8935)</f>
        <v>0.54826200000000014</v>
      </c>
      <c r="AM21" s="40">
        <v>495</v>
      </c>
      <c r="AN21" s="63">
        <f>AM24*AM21/1000*0.8935</f>
        <v>4.5997379999999994</v>
      </c>
      <c r="AO21" s="88">
        <f>AM24*AM21/1000*(1-0.8935)</f>
        <v>0.54826200000000014</v>
      </c>
      <c r="AP21" s="40">
        <v>495</v>
      </c>
      <c r="AQ21" s="63">
        <f>AP24*AP21/1000*0.8935</f>
        <v>4.5997379999999994</v>
      </c>
      <c r="AR21" s="88">
        <f>AP24*AP21/1000*(1-0.8935)</f>
        <v>0.54826200000000014</v>
      </c>
      <c r="AS21" s="40">
        <v>495</v>
      </c>
      <c r="AT21" s="63">
        <f>AS24*AS21/1000*0.8935</f>
        <v>4.5997379999999994</v>
      </c>
      <c r="AU21" s="88">
        <f>AS24*AS21/1000*(1-0.8935)</f>
        <v>0.54826200000000014</v>
      </c>
      <c r="AV21" s="40">
        <v>495</v>
      </c>
      <c r="AW21" s="63">
        <f>AV24*AV21/1000*0.8935</f>
        <v>4.5997379999999994</v>
      </c>
      <c r="AX21" s="88">
        <f>AV24*AV21/1000*(1-0.8935)</f>
        <v>0.54826200000000014</v>
      </c>
      <c r="AY21" s="40">
        <v>525</v>
      </c>
      <c r="AZ21" s="63">
        <f>AY24*AY21/1000*0.8935</f>
        <v>4.8785099999999995</v>
      </c>
      <c r="BA21" s="88">
        <f>AY24*AY21/1000*(1-0.8935)</f>
        <v>0.58149000000000017</v>
      </c>
      <c r="BB21" s="40">
        <v>525</v>
      </c>
      <c r="BC21" s="63">
        <f>BB24*BB21/1000*0.8935</f>
        <v>4.8785099999999995</v>
      </c>
      <c r="BD21" s="88">
        <f>BB24*BB21/1000*(1-0.8935)</f>
        <v>0.58149000000000017</v>
      </c>
      <c r="BE21" s="40">
        <v>525</v>
      </c>
      <c r="BF21" s="63">
        <f>BE24*BE21/1000*0.8935</f>
        <v>4.8785099999999995</v>
      </c>
      <c r="BG21" s="88">
        <f>BE24*BE21/1000*(1-0.8935)</f>
        <v>0.58149000000000017</v>
      </c>
      <c r="BH21" s="40">
        <v>525</v>
      </c>
      <c r="BI21" s="63">
        <f>BH24*BH21/1000*0.8935</f>
        <v>4.8785099999999995</v>
      </c>
      <c r="BJ21" s="88">
        <f>BH24*BH21/1000*(1-0.8935)</f>
        <v>0.58149000000000017</v>
      </c>
      <c r="BK21" s="40">
        <v>525</v>
      </c>
      <c r="BL21" s="63">
        <f>BK24*BK21/1000*0.8935</f>
        <v>4.8785099999999995</v>
      </c>
      <c r="BM21" s="88">
        <f>BK24*BK21/1000*(1-0.8935)</f>
        <v>0.58149000000000017</v>
      </c>
      <c r="BN21" s="40">
        <v>500</v>
      </c>
      <c r="BO21" s="63">
        <f>BN24*BN21/1000*0.8935</f>
        <v>4.6462000000000003</v>
      </c>
      <c r="BP21" s="88">
        <f>BN24*BN21/1000*(1-0.8935)</f>
        <v>0.55380000000000018</v>
      </c>
      <c r="BQ21" s="40">
        <v>500</v>
      </c>
      <c r="BR21" s="63">
        <f>BQ24*BQ21/1000*0.8935</f>
        <v>4.6462000000000003</v>
      </c>
      <c r="BS21" s="88">
        <f>BQ24*BQ21/1000*(1-0.8935)</f>
        <v>0.55380000000000018</v>
      </c>
      <c r="BT21" s="40">
        <v>400</v>
      </c>
      <c r="BU21" s="63">
        <f>BT24*BT21/1000*0.8935</f>
        <v>3.7169599999999998</v>
      </c>
      <c r="BV21" s="88">
        <f>BT24*BT21/1000*(1-0.8935)</f>
        <v>0.44304000000000016</v>
      </c>
      <c r="BW21" s="40">
        <v>400</v>
      </c>
      <c r="BX21" s="63">
        <f>BW24*BW21/1000*0.8935</f>
        <v>3.7169599999999998</v>
      </c>
      <c r="BY21" s="88">
        <f>BW24*BW21/1000*(1-0.8935)</f>
        <v>0.44304000000000016</v>
      </c>
      <c r="BZ21" s="40">
        <v>400</v>
      </c>
      <c r="CA21" s="63">
        <f>BZ24*BZ21/1000*0.8935</f>
        <v>3.7169599999999998</v>
      </c>
      <c r="CB21" s="88">
        <f>BZ24*BZ21/1000*(1-0.8935)</f>
        <v>0.44304000000000016</v>
      </c>
    </row>
    <row r="22" spans="1:80" ht="18" customHeight="1" thickBot="1" x14ac:dyDescent="0.3">
      <c r="A22" s="1026"/>
      <c r="B22" s="1027"/>
      <c r="C22" s="1028"/>
      <c r="D22" s="1033"/>
      <c r="E22" s="1037" t="s">
        <v>15</v>
      </c>
      <c r="F22" s="1038"/>
      <c r="G22" s="1037"/>
      <c r="H22" s="1039"/>
      <c r="I22" s="1107">
        <v>5</v>
      </c>
      <c r="J22" s="1108"/>
      <c r="K22" s="1109"/>
      <c r="L22" s="1107">
        <v>5</v>
      </c>
      <c r="M22" s="1108"/>
      <c r="N22" s="1109"/>
      <c r="O22" s="1107">
        <v>5</v>
      </c>
      <c r="P22" s="1108"/>
      <c r="Q22" s="1109"/>
      <c r="R22" s="1107">
        <v>5</v>
      </c>
      <c r="S22" s="1108"/>
      <c r="T22" s="1109"/>
      <c r="U22" s="1107">
        <v>5</v>
      </c>
      <c r="V22" s="1108"/>
      <c r="W22" s="1109"/>
      <c r="X22" s="1107">
        <v>5</v>
      </c>
      <c r="Y22" s="1108"/>
      <c r="Z22" s="1109"/>
      <c r="AA22" s="1107">
        <v>5</v>
      </c>
      <c r="AB22" s="1108"/>
      <c r="AC22" s="1109"/>
      <c r="AD22" s="1107">
        <v>5</v>
      </c>
      <c r="AE22" s="1108"/>
      <c r="AF22" s="1109"/>
      <c r="AG22" s="1107">
        <v>5</v>
      </c>
      <c r="AH22" s="1108"/>
      <c r="AI22" s="1109"/>
      <c r="AJ22" s="1107">
        <v>5</v>
      </c>
      <c r="AK22" s="1108"/>
      <c r="AL22" s="1109"/>
      <c r="AM22" s="1107">
        <v>5</v>
      </c>
      <c r="AN22" s="1108"/>
      <c r="AO22" s="1109"/>
      <c r="AP22" s="1107">
        <v>5</v>
      </c>
      <c r="AQ22" s="1108"/>
      <c r="AR22" s="1109"/>
      <c r="AS22" s="1107">
        <v>5</v>
      </c>
      <c r="AT22" s="1108"/>
      <c r="AU22" s="1109"/>
      <c r="AV22" s="1107">
        <v>5</v>
      </c>
      <c r="AW22" s="1108"/>
      <c r="AX22" s="1109"/>
      <c r="AY22" s="1107">
        <v>5</v>
      </c>
      <c r="AZ22" s="1108"/>
      <c r="BA22" s="1109"/>
      <c r="BB22" s="1107">
        <v>5</v>
      </c>
      <c r="BC22" s="1108"/>
      <c r="BD22" s="1109"/>
      <c r="BE22" s="1107">
        <v>5</v>
      </c>
      <c r="BF22" s="1108"/>
      <c r="BG22" s="1109"/>
      <c r="BH22" s="1107">
        <v>5</v>
      </c>
      <c r="BI22" s="1108"/>
      <c r="BJ22" s="1109"/>
      <c r="BK22" s="1107">
        <v>5</v>
      </c>
      <c r="BL22" s="1108"/>
      <c r="BM22" s="1109"/>
      <c r="BN22" s="1107">
        <v>5</v>
      </c>
      <c r="BO22" s="1108"/>
      <c r="BP22" s="1109"/>
      <c r="BQ22" s="1107">
        <v>5</v>
      </c>
      <c r="BR22" s="1108"/>
      <c r="BS22" s="1109"/>
      <c r="BT22" s="1107">
        <v>5</v>
      </c>
      <c r="BU22" s="1108"/>
      <c r="BV22" s="1109"/>
      <c r="BW22" s="1107">
        <v>5</v>
      </c>
      <c r="BX22" s="1108"/>
      <c r="BY22" s="1109"/>
      <c r="BZ22" s="1107">
        <v>5</v>
      </c>
      <c r="CA22" s="1108"/>
      <c r="CB22" s="1109"/>
    </row>
    <row r="23" spans="1:80" ht="18" customHeight="1" thickBot="1" x14ac:dyDescent="0.3">
      <c r="A23" s="1026"/>
      <c r="B23" s="1027"/>
      <c r="C23" s="1028"/>
      <c r="D23" s="1033"/>
      <c r="E23" s="1023" t="s">
        <v>14</v>
      </c>
      <c r="F23" s="1025"/>
      <c r="G23" s="1035" t="s">
        <v>55</v>
      </c>
      <c r="H23" s="1036"/>
      <c r="I23" s="998">
        <v>112</v>
      </c>
      <c r="J23" s="999"/>
      <c r="K23" s="1000"/>
      <c r="L23" s="998">
        <v>112</v>
      </c>
      <c r="M23" s="999"/>
      <c r="N23" s="1000"/>
      <c r="O23" s="998">
        <v>112</v>
      </c>
      <c r="P23" s="999"/>
      <c r="Q23" s="1000"/>
      <c r="R23" s="998">
        <v>112</v>
      </c>
      <c r="S23" s="999"/>
      <c r="T23" s="1000"/>
      <c r="U23" s="998">
        <v>112</v>
      </c>
      <c r="V23" s="999"/>
      <c r="W23" s="1000"/>
      <c r="X23" s="998">
        <v>112</v>
      </c>
      <c r="Y23" s="999"/>
      <c r="Z23" s="1000"/>
      <c r="AA23" s="998">
        <v>112</v>
      </c>
      <c r="AB23" s="999"/>
      <c r="AC23" s="1000"/>
      <c r="AD23" s="998">
        <v>112</v>
      </c>
      <c r="AE23" s="999"/>
      <c r="AF23" s="1000"/>
      <c r="AG23" s="998">
        <v>112</v>
      </c>
      <c r="AH23" s="999"/>
      <c r="AI23" s="1000"/>
      <c r="AJ23" s="998">
        <v>112</v>
      </c>
      <c r="AK23" s="999"/>
      <c r="AL23" s="1000"/>
      <c r="AM23" s="998">
        <v>112</v>
      </c>
      <c r="AN23" s="999"/>
      <c r="AO23" s="1000"/>
      <c r="AP23" s="998">
        <v>112</v>
      </c>
      <c r="AQ23" s="999"/>
      <c r="AR23" s="1000"/>
      <c r="AS23" s="998">
        <v>112</v>
      </c>
      <c r="AT23" s="999"/>
      <c r="AU23" s="1000"/>
      <c r="AV23" s="998">
        <v>112</v>
      </c>
      <c r="AW23" s="999"/>
      <c r="AX23" s="1000"/>
      <c r="AY23" s="998">
        <v>112</v>
      </c>
      <c r="AZ23" s="999"/>
      <c r="BA23" s="1000"/>
      <c r="BB23" s="998">
        <v>112</v>
      </c>
      <c r="BC23" s="999"/>
      <c r="BD23" s="1000"/>
      <c r="BE23" s="998">
        <v>112</v>
      </c>
      <c r="BF23" s="999"/>
      <c r="BG23" s="1000"/>
      <c r="BH23" s="998">
        <v>112</v>
      </c>
      <c r="BI23" s="999"/>
      <c r="BJ23" s="1000"/>
      <c r="BK23" s="998">
        <v>112</v>
      </c>
      <c r="BL23" s="999"/>
      <c r="BM23" s="1000"/>
      <c r="BN23" s="998">
        <v>112</v>
      </c>
      <c r="BO23" s="999"/>
      <c r="BP23" s="1000"/>
      <c r="BQ23" s="998">
        <v>112</v>
      </c>
      <c r="BR23" s="999"/>
      <c r="BS23" s="1000"/>
      <c r="BT23" s="998">
        <v>112</v>
      </c>
      <c r="BU23" s="999"/>
      <c r="BV23" s="1000"/>
      <c r="BW23" s="998">
        <v>112</v>
      </c>
      <c r="BX23" s="999"/>
      <c r="BY23" s="1000"/>
      <c r="BZ23" s="998">
        <v>112</v>
      </c>
      <c r="CA23" s="999"/>
      <c r="CB23" s="1000"/>
    </row>
    <row r="24" spans="1:80" ht="18" customHeight="1" thickBot="1" x14ac:dyDescent="0.3">
      <c r="A24" s="1026"/>
      <c r="B24" s="1027"/>
      <c r="C24" s="1028"/>
      <c r="D24" s="1033"/>
      <c r="E24" s="1026"/>
      <c r="F24" s="1028"/>
      <c r="G24" s="1023" t="s">
        <v>46</v>
      </c>
      <c r="H24" s="1025"/>
      <c r="I24" s="1076">
        <v>10.4</v>
      </c>
      <c r="J24" s="1077"/>
      <c r="K24" s="1078"/>
      <c r="L24" s="1076">
        <v>10.4</v>
      </c>
      <c r="M24" s="1077"/>
      <c r="N24" s="1078"/>
      <c r="O24" s="1076">
        <v>10.4</v>
      </c>
      <c r="P24" s="1077"/>
      <c r="Q24" s="1078"/>
      <c r="R24" s="1076">
        <v>10.4</v>
      </c>
      <c r="S24" s="1077"/>
      <c r="T24" s="1078"/>
      <c r="U24" s="1076">
        <v>10.4</v>
      </c>
      <c r="V24" s="1077"/>
      <c r="W24" s="1078"/>
      <c r="X24" s="1076">
        <v>10.4</v>
      </c>
      <c r="Y24" s="1077"/>
      <c r="Z24" s="1078"/>
      <c r="AA24" s="1076">
        <v>10.4</v>
      </c>
      <c r="AB24" s="1077"/>
      <c r="AC24" s="1078"/>
      <c r="AD24" s="1076">
        <v>10.4</v>
      </c>
      <c r="AE24" s="1077"/>
      <c r="AF24" s="1078"/>
      <c r="AG24" s="1076">
        <v>10.4</v>
      </c>
      <c r="AH24" s="1077"/>
      <c r="AI24" s="1078"/>
      <c r="AJ24" s="1076">
        <v>10.4</v>
      </c>
      <c r="AK24" s="1077"/>
      <c r="AL24" s="1078"/>
      <c r="AM24" s="1076">
        <v>10.4</v>
      </c>
      <c r="AN24" s="1077"/>
      <c r="AO24" s="1078"/>
      <c r="AP24" s="1076">
        <v>10.4</v>
      </c>
      <c r="AQ24" s="1077"/>
      <c r="AR24" s="1078"/>
      <c r="AS24" s="1076">
        <v>10.4</v>
      </c>
      <c r="AT24" s="1077"/>
      <c r="AU24" s="1078"/>
      <c r="AV24" s="1076">
        <v>10.4</v>
      </c>
      <c r="AW24" s="1077"/>
      <c r="AX24" s="1078"/>
      <c r="AY24" s="1076">
        <v>10.4</v>
      </c>
      <c r="AZ24" s="1077"/>
      <c r="BA24" s="1078"/>
      <c r="BB24" s="1076">
        <v>10.4</v>
      </c>
      <c r="BC24" s="1077"/>
      <c r="BD24" s="1078"/>
      <c r="BE24" s="1076">
        <v>10.4</v>
      </c>
      <c r="BF24" s="1077"/>
      <c r="BG24" s="1078"/>
      <c r="BH24" s="1076">
        <v>10.4</v>
      </c>
      <c r="BI24" s="1077"/>
      <c r="BJ24" s="1078"/>
      <c r="BK24" s="1076">
        <v>10.4</v>
      </c>
      <c r="BL24" s="1077"/>
      <c r="BM24" s="1078"/>
      <c r="BN24" s="1076">
        <v>10.4</v>
      </c>
      <c r="BO24" s="1077"/>
      <c r="BP24" s="1078"/>
      <c r="BQ24" s="1076">
        <v>10.4</v>
      </c>
      <c r="BR24" s="1077"/>
      <c r="BS24" s="1078"/>
      <c r="BT24" s="1076">
        <v>10.4</v>
      </c>
      <c r="BU24" s="1077"/>
      <c r="BV24" s="1078"/>
      <c r="BW24" s="1076">
        <v>10.4</v>
      </c>
      <c r="BX24" s="1077"/>
      <c r="BY24" s="1078"/>
      <c r="BZ24" s="1076">
        <v>10.4</v>
      </c>
      <c r="CA24" s="1077"/>
      <c r="CB24" s="1078"/>
    </row>
    <row r="25" spans="1:80" ht="18" customHeight="1" thickBot="1" x14ac:dyDescent="0.3">
      <c r="A25" s="1029"/>
      <c r="B25" s="1030"/>
      <c r="C25" s="1031"/>
      <c r="D25" s="1034"/>
      <c r="E25" s="1037" t="s">
        <v>31</v>
      </c>
      <c r="F25" s="1038"/>
      <c r="G25" s="1037"/>
      <c r="H25" s="1039"/>
      <c r="I25" s="1107"/>
      <c r="J25" s="1108"/>
      <c r="K25" s="1109"/>
      <c r="L25" s="1107"/>
      <c r="M25" s="1108"/>
      <c r="N25" s="1109"/>
      <c r="O25" s="1107"/>
      <c r="P25" s="1108"/>
      <c r="Q25" s="1109"/>
      <c r="R25" s="1107"/>
      <c r="S25" s="1108"/>
      <c r="T25" s="1109"/>
      <c r="U25" s="1107"/>
      <c r="V25" s="1108"/>
      <c r="W25" s="1109"/>
      <c r="X25" s="1107"/>
      <c r="Y25" s="1108"/>
      <c r="Z25" s="1109"/>
      <c r="AA25" s="1107"/>
      <c r="AB25" s="1108"/>
      <c r="AC25" s="1109"/>
      <c r="AD25" s="1107"/>
      <c r="AE25" s="1108"/>
      <c r="AF25" s="1109"/>
      <c r="AG25" s="1107"/>
      <c r="AH25" s="1108"/>
      <c r="AI25" s="1109"/>
      <c r="AJ25" s="1107"/>
      <c r="AK25" s="1108"/>
      <c r="AL25" s="1109"/>
      <c r="AM25" s="1107"/>
      <c r="AN25" s="1108"/>
      <c r="AO25" s="1109"/>
      <c r="AP25" s="1107"/>
      <c r="AQ25" s="1108"/>
      <c r="AR25" s="1109"/>
      <c r="AS25" s="1107"/>
      <c r="AT25" s="1108"/>
      <c r="AU25" s="1109"/>
      <c r="AV25" s="1107"/>
      <c r="AW25" s="1108"/>
      <c r="AX25" s="1109"/>
      <c r="AY25" s="1107"/>
      <c r="AZ25" s="1108"/>
      <c r="BA25" s="1109"/>
      <c r="BB25" s="1107"/>
      <c r="BC25" s="1108"/>
      <c r="BD25" s="1109"/>
      <c r="BE25" s="1107"/>
      <c r="BF25" s="1108"/>
      <c r="BG25" s="1109"/>
      <c r="BH25" s="1107"/>
      <c r="BI25" s="1108"/>
      <c r="BJ25" s="1109"/>
      <c r="BK25" s="1107"/>
      <c r="BL25" s="1108"/>
      <c r="BM25" s="1109"/>
      <c r="BN25" s="1107"/>
      <c r="BO25" s="1108"/>
      <c r="BP25" s="1109"/>
      <c r="BQ25" s="1107"/>
      <c r="BR25" s="1108"/>
      <c r="BS25" s="1109"/>
      <c r="BT25" s="1107"/>
      <c r="BU25" s="1108"/>
      <c r="BV25" s="1109"/>
      <c r="BW25" s="1107"/>
      <c r="BX25" s="1108"/>
      <c r="BY25" s="1109"/>
      <c r="BZ25" s="1107"/>
      <c r="CA25" s="1108"/>
      <c r="CB25" s="1109"/>
    </row>
    <row r="26" spans="1:80" ht="6.75" customHeight="1" x14ac:dyDescent="0.2">
      <c r="A26" s="1023" t="s">
        <v>17</v>
      </c>
      <c r="B26" s="1024"/>
      <c r="C26" s="1025"/>
      <c r="D26" s="1032">
        <v>0.16</v>
      </c>
      <c r="E26" s="1023" t="s">
        <v>13</v>
      </c>
      <c r="F26" s="1025"/>
      <c r="G26" s="1023" t="s">
        <v>47</v>
      </c>
      <c r="H26" s="1024"/>
      <c r="I26" s="1091">
        <v>10</v>
      </c>
      <c r="J26" s="1094">
        <f>I26*I29/1000000*1</f>
        <v>3.9699999999999996E-3</v>
      </c>
      <c r="K26" s="1101">
        <f>I26*I29/1000000*0</f>
        <v>0</v>
      </c>
      <c r="L26" s="1091">
        <v>10</v>
      </c>
      <c r="M26" s="1094">
        <f>L26*L29/1000000*1</f>
        <v>3.9699999999999996E-3</v>
      </c>
      <c r="N26" s="1101">
        <f>L26*L29/1000000*0</f>
        <v>0</v>
      </c>
      <c r="O26" s="1091">
        <v>10</v>
      </c>
      <c r="P26" s="1094">
        <f>O26*O29/1000000*1</f>
        <v>3.9699999999999996E-3</v>
      </c>
      <c r="Q26" s="1101">
        <f>O26*O29/1000000*0</f>
        <v>0</v>
      </c>
      <c r="R26" s="1091">
        <v>10</v>
      </c>
      <c r="S26" s="1094">
        <f>R26*R29/1000000*1</f>
        <v>3.9699999999999996E-3</v>
      </c>
      <c r="T26" s="1101">
        <f>R26*R29/1000000*0</f>
        <v>0</v>
      </c>
      <c r="U26" s="1091">
        <v>10</v>
      </c>
      <c r="V26" s="1094">
        <f>U26*U29/1000000*1</f>
        <v>3.9699999999999996E-3</v>
      </c>
      <c r="W26" s="1101">
        <f>U26*U29/1000000*0</f>
        <v>0</v>
      </c>
      <c r="X26" s="1091">
        <v>10</v>
      </c>
      <c r="Y26" s="1094">
        <f>X26*X29/1000000*1</f>
        <v>3.9699999999999996E-3</v>
      </c>
      <c r="Z26" s="1101">
        <f>X26*X29/1000000*0</f>
        <v>0</v>
      </c>
      <c r="AA26" s="1091">
        <v>10</v>
      </c>
      <c r="AB26" s="1094">
        <f>AA26*AA29/1000000*1</f>
        <v>3.9699999999999996E-3</v>
      </c>
      <c r="AC26" s="1101">
        <f>AA26*AA29/1000000*0</f>
        <v>0</v>
      </c>
      <c r="AD26" s="1091">
        <v>10</v>
      </c>
      <c r="AE26" s="1094">
        <f>AD26*AD29/1000000*1</f>
        <v>3.9699999999999996E-3</v>
      </c>
      <c r="AF26" s="1101">
        <f>AD26*AD29/1000000*0</f>
        <v>0</v>
      </c>
      <c r="AG26" s="1091">
        <v>8</v>
      </c>
      <c r="AH26" s="1094">
        <f>AG26*AG29/1000000*1</f>
        <v>3.176E-3</v>
      </c>
      <c r="AI26" s="1101">
        <f>AG26*AG29/1000000*0</f>
        <v>0</v>
      </c>
      <c r="AJ26" s="1091">
        <v>8</v>
      </c>
      <c r="AK26" s="1094">
        <f>AJ26*AJ29/1000000*1</f>
        <v>3.176E-3</v>
      </c>
      <c r="AL26" s="1101">
        <f>AJ26*AJ29/1000000*0</f>
        <v>0</v>
      </c>
      <c r="AM26" s="1091">
        <v>8</v>
      </c>
      <c r="AN26" s="1094">
        <f>AM26*AM29/1000000*1</f>
        <v>3.176E-3</v>
      </c>
      <c r="AO26" s="1101">
        <f>AM26*AM29/1000000*0</f>
        <v>0</v>
      </c>
      <c r="AP26" s="1091">
        <v>8</v>
      </c>
      <c r="AQ26" s="1094">
        <f>AP26*AP29/1000000*1</f>
        <v>3.176E-3</v>
      </c>
      <c r="AR26" s="1101">
        <f>AP26*AP29/1000000*0</f>
        <v>0</v>
      </c>
      <c r="AS26" s="1091">
        <v>8</v>
      </c>
      <c r="AT26" s="1094">
        <f>AS26*AS29/1000000*1</f>
        <v>3.176E-3</v>
      </c>
      <c r="AU26" s="1101">
        <f>AS26*AS29/1000000*0</f>
        <v>0</v>
      </c>
      <c r="AV26" s="1091">
        <v>8</v>
      </c>
      <c r="AW26" s="1094">
        <f>AV26*AV29/1000000*1</f>
        <v>3.176E-3</v>
      </c>
      <c r="AX26" s="1101">
        <f>AV26*AV29/1000000*0</f>
        <v>0</v>
      </c>
      <c r="AY26" s="1091">
        <v>0</v>
      </c>
      <c r="AZ26" s="1094">
        <f>AY26*AY29/1000000*1</f>
        <v>0</v>
      </c>
      <c r="BA26" s="1101">
        <f>AY26*AY29/1000000*0</f>
        <v>0</v>
      </c>
      <c r="BB26" s="1091">
        <v>0</v>
      </c>
      <c r="BC26" s="1094">
        <f>BB26*BB29/1000000*1</f>
        <v>0</v>
      </c>
      <c r="BD26" s="1101">
        <f>BB26*BB29/1000000*0</f>
        <v>0</v>
      </c>
      <c r="BE26" s="1091">
        <v>0</v>
      </c>
      <c r="BF26" s="1094">
        <f>BE26*BE29/1000000*1</f>
        <v>0</v>
      </c>
      <c r="BG26" s="1101">
        <f>BE26*BE29/1000000*0</f>
        <v>0</v>
      </c>
      <c r="BH26" s="1091">
        <v>0</v>
      </c>
      <c r="BI26" s="1094">
        <f>BH26*BH29/1000000*1</f>
        <v>0</v>
      </c>
      <c r="BJ26" s="1101">
        <f>BH26*BH29/1000000*0</f>
        <v>0</v>
      </c>
      <c r="BK26" s="1091">
        <v>0</v>
      </c>
      <c r="BL26" s="1094">
        <f>BK26*BK29/1000000*1</f>
        <v>0</v>
      </c>
      <c r="BM26" s="1101">
        <f>BK26*BK29/1000000*0</f>
        <v>0</v>
      </c>
      <c r="BN26" s="1091">
        <v>10</v>
      </c>
      <c r="BO26" s="1094">
        <f>BN26*BN29/1000000*1</f>
        <v>3.9699999999999996E-3</v>
      </c>
      <c r="BP26" s="1101">
        <f>BN26*BN29/1000000*0</f>
        <v>0</v>
      </c>
      <c r="BQ26" s="1091">
        <v>10</v>
      </c>
      <c r="BR26" s="1094">
        <f>BQ26*BQ29/1000000*1</f>
        <v>3.9699999999999996E-3</v>
      </c>
      <c r="BS26" s="1101">
        <f>BQ26*BQ29/1000000*0</f>
        <v>0</v>
      </c>
      <c r="BT26" s="1091">
        <v>10</v>
      </c>
      <c r="BU26" s="1094">
        <f>BT26*BT29/1000000*1</f>
        <v>3.9699999999999996E-3</v>
      </c>
      <c r="BV26" s="1101">
        <f>BT26*BT29/1000000*0</f>
        <v>0</v>
      </c>
      <c r="BW26" s="1091">
        <v>10</v>
      </c>
      <c r="BX26" s="1094">
        <f>BW26*BW29/1000000*1</f>
        <v>3.9699999999999996E-3</v>
      </c>
      <c r="BY26" s="1101">
        <f>BW26*BW29/1000000*0</f>
        <v>0</v>
      </c>
      <c r="BZ26" s="1091">
        <v>10</v>
      </c>
      <c r="CA26" s="1094">
        <f>BZ26*BZ29/1000000*1</f>
        <v>3.9699999999999996E-3</v>
      </c>
      <c r="CB26" s="1101">
        <f>BZ26*BZ29/1000000*0</f>
        <v>0</v>
      </c>
    </row>
    <row r="27" spans="1:80" ht="6.75" customHeight="1" x14ac:dyDescent="0.2">
      <c r="A27" s="1026"/>
      <c r="B27" s="1027"/>
      <c r="C27" s="1028"/>
      <c r="D27" s="1033"/>
      <c r="E27" s="1026"/>
      <c r="F27" s="1028"/>
      <c r="G27" s="1026"/>
      <c r="H27" s="1027"/>
      <c r="I27" s="1092"/>
      <c r="J27" s="1095"/>
      <c r="K27" s="1102"/>
      <c r="L27" s="1092"/>
      <c r="M27" s="1095"/>
      <c r="N27" s="1102"/>
      <c r="O27" s="1092"/>
      <c r="P27" s="1095"/>
      <c r="Q27" s="1102"/>
      <c r="R27" s="1092"/>
      <c r="S27" s="1095"/>
      <c r="T27" s="1102"/>
      <c r="U27" s="1092"/>
      <c r="V27" s="1095"/>
      <c r="W27" s="1102"/>
      <c r="X27" s="1092"/>
      <c r="Y27" s="1095"/>
      <c r="Z27" s="1102"/>
      <c r="AA27" s="1092"/>
      <c r="AB27" s="1095"/>
      <c r="AC27" s="1102"/>
      <c r="AD27" s="1092"/>
      <c r="AE27" s="1095"/>
      <c r="AF27" s="1102"/>
      <c r="AG27" s="1092"/>
      <c r="AH27" s="1095"/>
      <c r="AI27" s="1102"/>
      <c r="AJ27" s="1092"/>
      <c r="AK27" s="1095"/>
      <c r="AL27" s="1102"/>
      <c r="AM27" s="1092"/>
      <c r="AN27" s="1095"/>
      <c r="AO27" s="1102"/>
      <c r="AP27" s="1092"/>
      <c r="AQ27" s="1095"/>
      <c r="AR27" s="1102"/>
      <c r="AS27" s="1092"/>
      <c r="AT27" s="1095"/>
      <c r="AU27" s="1102"/>
      <c r="AV27" s="1092"/>
      <c r="AW27" s="1095"/>
      <c r="AX27" s="1102"/>
      <c r="AY27" s="1092"/>
      <c r="AZ27" s="1095"/>
      <c r="BA27" s="1102"/>
      <c r="BB27" s="1092"/>
      <c r="BC27" s="1095"/>
      <c r="BD27" s="1102"/>
      <c r="BE27" s="1092"/>
      <c r="BF27" s="1095"/>
      <c r="BG27" s="1102"/>
      <c r="BH27" s="1092"/>
      <c r="BI27" s="1095"/>
      <c r="BJ27" s="1102"/>
      <c r="BK27" s="1092"/>
      <c r="BL27" s="1095"/>
      <c r="BM27" s="1102"/>
      <c r="BN27" s="1092"/>
      <c r="BO27" s="1095"/>
      <c r="BP27" s="1102"/>
      <c r="BQ27" s="1092"/>
      <c r="BR27" s="1095"/>
      <c r="BS27" s="1102"/>
      <c r="BT27" s="1092"/>
      <c r="BU27" s="1095"/>
      <c r="BV27" s="1102"/>
      <c r="BW27" s="1092"/>
      <c r="BX27" s="1095"/>
      <c r="BY27" s="1102"/>
      <c r="BZ27" s="1092"/>
      <c r="CA27" s="1095"/>
      <c r="CB27" s="1102"/>
    </row>
    <row r="28" spans="1:80" ht="6.75" customHeight="1" thickBot="1" x14ac:dyDescent="0.25">
      <c r="A28" s="1026"/>
      <c r="B28" s="1027"/>
      <c r="C28" s="1028"/>
      <c r="D28" s="1033"/>
      <c r="E28" s="1029"/>
      <c r="F28" s="1031"/>
      <c r="G28" s="1029"/>
      <c r="H28" s="1030"/>
      <c r="I28" s="1093"/>
      <c r="J28" s="1096"/>
      <c r="K28" s="1103"/>
      <c r="L28" s="1093"/>
      <c r="M28" s="1096"/>
      <c r="N28" s="1103"/>
      <c r="O28" s="1093"/>
      <c r="P28" s="1096"/>
      <c r="Q28" s="1103"/>
      <c r="R28" s="1093"/>
      <c r="S28" s="1096"/>
      <c r="T28" s="1103"/>
      <c r="U28" s="1093"/>
      <c r="V28" s="1096"/>
      <c r="W28" s="1103"/>
      <c r="X28" s="1093"/>
      <c r="Y28" s="1096"/>
      <c r="Z28" s="1103"/>
      <c r="AA28" s="1093"/>
      <c r="AB28" s="1096"/>
      <c r="AC28" s="1103"/>
      <c r="AD28" s="1093"/>
      <c r="AE28" s="1096"/>
      <c r="AF28" s="1103"/>
      <c r="AG28" s="1093"/>
      <c r="AH28" s="1096"/>
      <c r="AI28" s="1103"/>
      <c r="AJ28" s="1093"/>
      <c r="AK28" s="1096"/>
      <c r="AL28" s="1103"/>
      <c r="AM28" s="1093"/>
      <c r="AN28" s="1096"/>
      <c r="AO28" s="1103"/>
      <c r="AP28" s="1093"/>
      <c r="AQ28" s="1096"/>
      <c r="AR28" s="1103"/>
      <c r="AS28" s="1093"/>
      <c r="AT28" s="1096"/>
      <c r="AU28" s="1103"/>
      <c r="AV28" s="1093"/>
      <c r="AW28" s="1096"/>
      <c r="AX28" s="1103"/>
      <c r="AY28" s="1093"/>
      <c r="AZ28" s="1096"/>
      <c r="BA28" s="1103"/>
      <c r="BB28" s="1093"/>
      <c r="BC28" s="1096"/>
      <c r="BD28" s="1103"/>
      <c r="BE28" s="1093"/>
      <c r="BF28" s="1096"/>
      <c r="BG28" s="1103"/>
      <c r="BH28" s="1093"/>
      <c r="BI28" s="1096"/>
      <c r="BJ28" s="1103"/>
      <c r="BK28" s="1093"/>
      <c r="BL28" s="1096"/>
      <c r="BM28" s="1103"/>
      <c r="BN28" s="1093"/>
      <c r="BO28" s="1096"/>
      <c r="BP28" s="1103"/>
      <c r="BQ28" s="1093"/>
      <c r="BR28" s="1096"/>
      <c r="BS28" s="1103"/>
      <c r="BT28" s="1093"/>
      <c r="BU28" s="1096"/>
      <c r="BV28" s="1103"/>
      <c r="BW28" s="1093"/>
      <c r="BX28" s="1096"/>
      <c r="BY28" s="1103"/>
      <c r="BZ28" s="1093"/>
      <c r="CA28" s="1096"/>
      <c r="CB28" s="1103"/>
    </row>
    <row r="29" spans="1:80" ht="6.75" customHeight="1" x14ac:dyDescent="0.2">
      <c r="A29" s="1026"/>
      <c r="B29" s="1027"/>
      <c r="C29" s="1028"/>
      <c r="D29" s="1033"/>
      <c r="E29" s="1023" t="s">
        <v>14</v>
      </c>
      <c r="F29" s="1025"/>
      <c r="G29" s="1023" t="s">
        <v>47</v>
      </c>
      <c r="H29" s="1024"/>
      <c r="I29" s="1085">
        <v>397</v>
      </c>
      <c r="J29" s="1086"/>
      <c r="K29" s="1087"/>
      <c r="L29" s="1085">
        <v>397</v>
      </c>
      <c r="M29" s="1086"/>
      <c r="N29" s="1087"/>
      <c r="O29" s="1085">
        <v>397</v>
      </c>
      <c r="P29" s="1086"/>
      <c r="Q29" s="1087"/>
      <c r="R29" s="1085">
        <v>397</v>
      </c>
      <c r="S29" s="1086"/>
      <c r="T29" s="1087"/>
      <c r="U29" s="1085">
        <v>397</v>
      </c>
      <c r="V29" s="1086"/>
      <c r="W29" s="1087"/>
      <c r="X29" s="1085">
        <v>397</v>
      </c>
      <c r="Y29" s="1086"/>
      <c r="Z29" s="1087"/>
      <c r="AA29" s="1085">
        <v>397</v>
      </c>
      <c r="AB29" s="1086"/>
      <c r="AC29" s="1087"/>
      <c r="AD29" s="1085">
        <v>397</v>
      </c>
      <c r="AE29" s="1086"/>
      <c r="AF29" s="1087"/>
      <c r="AG29" s="1085">
        <v>397</v>
      </c>
      <c r="AH29" s="1086"/>
      <c r="AI29" s="1087"/>
      <c r="AJ29" s="1085">
        <v>397</v>
      </c>
      <c r="AK29" s="1086"/>
      <c r="AL29" s="1087"/>
      <c r="AM29" s="1085">
        <v>397</v>
      </c>
      <c r="AN29" s="1086"/>
      <c r="AO29" s="1087"/>
      <c r="AP29" s="1085">
        <v>397</v>
      </c>
      <c r="AQ29" s="1086"/>
      <c r="AR29" s="1087"/>
      <c r="AS29" s="1085">
        <v>397</v>
      </c>
      <c r="AT29" s="1086"/>
      <c r="AU29" s="1087"/>
      <c r="AV29" s="1085">
        <v>397</v>
      </c>
      <c r="AW29" s="1086"/>
      <c r="AX29" s="1087"/>
      <c r="AY29" s="1085">
        <v>397</v>
      </c>
      <c r="AZ29" s="1086"/>
      <c r="BA29" s="1087"/>
      <c r="BB29" s="1085">
        <v>397</v>
      </c>
      <c r="BC29" s="1086"/>
      <c r="BD29" s="1087"/>
      <c r="BE29" s="1085">
        <v>397</v>
      </c>
      <c r="BF29" s="1086"/>
      <c r="BG29" s="1087"/>
      <c r="BH29" s="1085">
        <v>397</v>
      </c>
      <c r="BI29" s="1086"/>
      <c r="BJ29" s="1087"/>
      <c r="BK29" s="1085">
        <v>397</v>
      </c>
      <c r="BL29" s="1086"/>
      <c r="BM29" s="1087"/>
      <c r="BN29" s="1085">
        <v>397</v>
      </c>
      <c r="BO29" s="1086"/>
      <c r="BP29" s="1087"/>
      <c r="BQ29" s="1085">
        <v>397</v>
      </c>
      <c r="BR29" s="1086"/>
      <c r="BS29" s="1087"/>
      <c r="BT29" s="1085">
        <v>397</v>
      </c>
      <c r="BU29" s="1086"/>
      <c r="BV29" s="1087"/>
      <c r="BW29" s="1085">
        <v>397</v>
      </c>
      <c r="BX29" s="1086"/>
      <c r="BY29" s="1087"/>
      <c r="BZ29" s="1085">
        <v>397</v>
      </c>
      <c r="CA29" s="1086"/>
      <c r="CB29" s="1087"/>
    </row>
    <row r="30" spans="1:80" ht="6.75" customHeight="1" x14ac:dyDescent="0.2">
      <c r="A30" s="1026"/>
      <c r="B30" s="1027"/>
      <c r="C30" s="1028"/>
      <c r="D30" s="1033"/>
      <c r="E30" s="1026"/>
      <c r="F30" s="1028"/>
      <c r="G30" s="1026"/>
      <c r="H30" s="1027"/>
      <c r="I30" s="1085"/>
      <c r="J30" s="1086"/>
      <c r="K30" s="1087"/>
      <c r="L30" s="1085"/>
      <c r="M30" s="1086"/>
      <c r="N30" s="1087"/>
      <c r="O30" s="1085"/>
      <c r="P30" s="1086"/>
      <c r="Q30" s="1087"/>
      <c r="R30" s="1085"/>
      <c r="S30" s="1086"/>
      <c r="T30" s="1087"/>
      <c r="U30" s="1085"/>
      <c r="V30" s="1086"/>
      <c r="W30" s="1087"/>
      <c r="X30" s="1085"/>
      <c r="Y30" s="1086"/>
      <c r="Z30" s="1087"/>
      <c r="AA30" s="1085"/>
      <c r="AB30" s="1086"/>
      <c r="AC30" s="1087"/>
      <c r="AD30" s="1085"/>
      <c r="AE30" s="1086"/>
      <c r="AF30" s="1087"/>
      <c r="AG30" s="1085"/>
      <c r="AH30" s="1086"/>
      <c r="AI30" s="1087"/>
      <c r="AJ30" s="1085"/>
      <c r="AK30" s="1086"/>
      <c r="AL30" s="1087"/>
      <c r="AM30" s="1085"/>
      <c r="AN30" s="1086"/>
      <c r="AO30" s="1087"/>
      <c r="AP30" s="1085"/>
      <c r="AQ30" s="1086"/>
      <c r="AR30" s="1087"/>
      <c r="AS30" s="1085"/>
      <c r="AT30" s="1086"/>
      <c r="AU30" s="1087"/>
      <c r="AV30" s="1085"/>
      <c r="AW30" s="1086"/>
      <c r="AX30" s="1087"/>
      <c r="AY30" s="1085"/>
      <c r="AZ30" s="1086"/>
      <c r="BA30" s="1087"/>
      <c r="BB30" s="1085"/>
      <c r="BC30" s="1086"/>
      <c r="BD30" s="1087"/>
      <c r="BE30" s="1085"/>
      <c r="BF30" s="1086"/>
      <c r="BG30" s="1087"/>
      <c r="BH30" s="1085"/>
      <c r="BI30" s="1086"/>
      <c r="BJ30" s="1087"/>
      <c r="BK30" s="1085"/>
      <c r="BL30" s="1086"/>
      <c r="BM30" s="1087"/>
      <c r="BN30" s="1085"/>
      <c r="BO30" s="1086"/>
      <c r="BP30" s="1087"/>
      <c r="BQ30" s="1085"/>
      <c r="BR30" s="1086"/>
      <c r="BS30" s="1087"/>
      <c r="BT30" s="1085"/>
      <c r="BU30" s="1086"/>
      <c r="BV30" s="1087"/>
      <c r="BW30" s="1085"/>
      <c r="BX30" s="1086"/>
      <c r="BY30" s="1087"/>
      <c r="BZ30" s="1085"/>
      <c r="CA30" s="1086"/>
      <c r="CB30" s="1087"/>
    </row>
    <row r="31" spans="1:80" ht="6.75" customHeight="1" thickBot="1" x14ac:dyDescent="0.25">
      <c r="A31" s="1029"/>
      <c r="B31" s="1030"/>
      <c r="C31" s="1031"/>
      <c r="D31" s="1034"/>
      <c r="E31" s="1029"/>
      <c r="F31" s="1031"/>
      <c r="G31" s="1029"/>
      <c r="H31" s="1030"/>
      <c r="I31" s="1104"/>
      <c r="J31" s="1105"/>
      <c r="K31" s="1106"/>
      <c r="L31" s="1104"/>
      <c r="M31" s="1105"/>
      <c r="N31" s="1106"/>
      <c r="O31" s="1104"/>
      <c r="P31" s="1105"/>
      <c r="Q31" s="1106"/>
      <c r="R31" s="1104"/>
      <c r="S31" s="1105"/>
      <c r="T31" s="1106"/>
      <c r="U31" s="1104"/>
      <c r="V31" s="1105"/>
      <c r="W31" s="1106"/>
      <c r="X31" s="1104"/>
      <c r="Y31" s="1105"/>
      <c r="Z31" s="1106"/>
      <c r="AA31" s="1104"/>
      <c r="AB31" s="1105"/>
      <c r="AC31" s="1106"/>
      <c r="AD31" s="1104"/>
      <c r="AE31" s="1105"/>
      <c r="AF31" s="1106"/>
      <c r="AG31" s="1104"/>
      <c r="AH31" s="1105"/>
      <c r="AI31" s="1106"/>
      <c r="AJ31" s="1104"/>
      <c r="AK31" s="1105"/>
      <c r="AL31" s="1106"/>
      <c r="AM31" s="1104"/>
      <c r="AN31" s="1105"/>
      <c r="AO31" s="1106"/>
      <c r="AP31" s="1104"/>
      <c r="AQ31" s="1105"/>
      <c r="AR31" s="1106"/>
      <c r="AS31" s="1104"/>
      <c r="AT31" s="1105"/>
      <c r="AU31" s="1106"/>
      <c r="AV31" s="1104"/>
      <c r="AW31" s="1105"/>
      <c r="AX31" s="1106"/>
      <c r="AY31" s="1104"/>
      <c r="AZ31" s="1105"/>
      <c r="BA31" s="1106"/>
      <c r="BB31" s="1104"/>
      <c r="BC31" s="1105"/>
      <c r="BD31" s="1106"/>
      <c r="BE31" s="1104"/>
      <c r="BF31" s="1105"/>
      <c r="BG31" s="1106"/>
      <c r="BH31" s="1104"/>
      <c r="BI31" s="1105"/>
      <c r="BJ31" s="1106"/>
      <c r="BK31" s="1104"/>
      <c r="BL31" s="1105"/>
      <c r="BM31" s="1106"/>
      <c r="BN31" s="1104"/>
      <c r="BO31" s="1105"/>
      <c r="BP31" s="1106"/>
      <c r="BQ31" s="1104"/>
      <c r="BR31" s="1105"/>
      <c r="BS31" s="1106"/>
      <c r="BT31" s="1104"/>
      <c r="BU31" s="1105"/>
      <c r="BV31" s="1106"/>
      <c r="BW31" s="1104"/>
      <c r="BX31" s="1105"/>
      <c r="BY31" s="1106"/>
      <c r="BZ31" s="1104"/>
      <c r="CA31" s="1105"/>
      <c r="CB31" s="1106"/>
    </row>
    <row r="32" spans="1:80" ht="7.5" customHeight="1" x14ac:dyDescent="0.2">
      <c r="A32" s="1023" t="s">
        <v>18</v>
      </c>
      <c r="B32" s="1024"/>
      <c r="C32" s="1025"/>
      <c r="D32" s="1032">
        <v>0.16</v>
      </c>
      <c r="E32" s="1023" t="s">
        <v>13</v>
      </c>
      <c r="F32" s="1025"/>
      <c r="G32" s="1023" t="s">
        <v>47</v>
      </c>
      <c r="H32" s="1024"/>
      <c r="I32" s="1091">
        <v>20</v>
      </c>
      <c r="J32" s="1094">
        <f>I32*I35/1000000*0.473</f>
        <v>3.8786000000000003E-3</v>
      </c>
      <c r="K32" s="1101">
        <f>I32*I35/1000000*(1-0.473)</f>
        <v>4.3214000000000004E-3</v>
      </c>
      <c r="L32" s="1091">
        <v>20</v>
      </c>
      <c r="M32" s="1094">
        <f>L32*L35/1000000*0.473</f>
        <v>3.8786000000000003E-3</v>
      </c>
      <c r="N32" s="1101">
        <f>L32*L35/1000000*(1-0.473)</f>
        <v>4.3214000000000004E-3</v>
      </c>
      <c r="O32" s="1091">
        <v>20</v>
      </c>
      <c r="P32" s="1094">
        <f>O32*O35/1000000*0.473</f>
        <v>3.8786000000000003E-3</v>
      </c>
      <c r="Q32" s="1101">
        <f>O32*O35/1000000*(1-0.473)</f>
        <v>4.3214000000000004E-3</v>
      </c>
      <c r="R32" s="1091">
        <v>20</v>
      </c>
      <c r="S32" s="1094">
        <f>R32*R35/1000000*0.473</f>
        <v>3.8786000000000003E-3</v>
      </c>
      <c r="T32" s="1101">
        <f>R32*R35/1000000*(1-0.473)</f>
        <v>4.3214000000000004E-3</v>
      </c>
      <c r="U32" s="1091">
        <v>20</v>
      </c>
      <c r="V32" s="1094">
        <f>U32*U35/1000000*0.473</f>
        <v>3.8786000000000003E-3</v>
      </c>
      <c r="W32" s="1101">
        <f>U32*U35/1000000*(1-0.473)</f>
        <v>4.3214000000000004E-3</v>
      </c>
      <c r="X32" s="1091">
        <v>20</v>
      </c>
      <c r="Y32" s="1094">
        <f>X32*X35/1000000*0.473</f>
        <v>3.8786000000000003E-3</v>
      </c>
      <c r="Z32" s="1101">
        <f>X32*X35/1000000*(1-0.473)</f>
        <v>4.3214000000000004E-3</v>
      </c>
      <c r="AA32" s="1091">
        <v>20</v>
      </c>
      <c r="AB32" s="1094">
        <f>AA32*AA35/1000000*0.473</f>
        <v>3.8786000000000003E-3</v>
      </c>
      <c r="AC32" s="1101">
        <f>AA32*AA35/1000000*(1-0.473)</f>
        <v>4.3214000000000004E-3</v>
      </c>
      <c r="AD32" s="1091">
        <v>20</v>
      </c>
      <c r="AE32" s="1094">
        <f>AD32*AD35/1000000*0.473</f>
        <v>3.8786000000000003E-3</v>
      </c>
      <c r="AF32" s="1101">
        <f>AD32*AD35/1000000*(1-0.473)</f>
        <v>4.3214000000000004E-3</v>
      </c>
      <c r="AG32" s="1091">
        <v>15</v>
      </c>
      <c r="AH32" s="1094">
        <f>AG32*AG35/1000000*0.473</f>
        <v>2.90895E-3</v>
      </c>
      <c r="AI32" s="1101">
        <f>AG32*AG35/1000000*(1-0.473)</f>
        <v>3.2410500000000001E-3</v>
      </c>
      <c r="AJ32" s="1091">
        <v>15</v>
      </c>
      <c r="AK32" s="1094">
        <f>AJ32*AJ35/1000000*0.473</f>
        <v>2.90895E-3</v>
      </c>
      <c r="AL32" s="1101">
        <f>AJ32*AJ35/1000000*(1-0.473)</f>
        <v>3.2410500000000001E-3</v>
      </c>
      <c r="AM32" s="1091">
        <v>15</v>
      </c>
      <c r="AN32" s="1094">
        <f>AM32*AM35/1000000*0.473</f>
        <v>2.90895E-3</v>
      </c>
      <c r="AO32" s="1101">
        <f>AM32*AM35/1000000*(1-0.473)</f>
        <v>3.2410500000000001E-3</v>
      </c>
      <c r="AP32" s="1091">
        <v>15</v>
      </c>
      <c r="AQ32" s="1094">
        <f>AP32*AP35/1000000*0.473</f>
        <v>2.90895E-3</v>
      </c>
      <c r="AR32" s="1101">
        <f>AP32*AP35/1000000*(1-0.473)</f>
        <v>3.2410500000000001E-3</v>
      </c>
      <c r="AS32" s="1091">
        <v>15</v>
      </c>
      <c r="AT32" s="1094">
        <f>AS32*AS35/1000000*0.473</f>
        <v>2.90895E-3</v>
      </c>
      <c r="AU32" s="1101">
        <f>AS32*AS35/1000000*(1-0.473)</f>
        <v>3.2410500000000001E-3</v>
      </c>
      <c r="AV32" s="1091">
        <v>15</v>
      </c>
      <c r="AW32" s="1094">
        <f>AV32*AV35/1000000*0.473</f>
        <v>2.90895E-3</v>
      </c>
      <c r="AX32" s="1101">
        <f>AV32*AV35/1000000*(1-0.473)</f>
        <v>3.2410500000000001E-3</v>
      </c>
      <c r="AY32" s="1091">
        <v>15</v>
      </c>
      <c r="AZ32" s="1094">
        <f>AY32*AY35/1000000*0.473</f>
        <v>2.90895E-3</v>
      </c>
      <c r="BA32" s="1101">
        <f>AY32*AY35/1000000*(1-0.473)</f>
        <v>3.2410500000000001E-3</v>
      </c>
      <c r="BB32" s="1091">
        <v>15</v>
      </c>
      <c r="BC32" s="1094">
        <f>BB32*BB35/1000000*0.473</f>
        <v>2.90895E-3</v>
      </c>
      <c r="BD32" s="1101">
        <f>BB32*BB35/1000000*(1-0.473)</f>
        <v>3.2410500000000001E-3</v>
      </c>
      <c r="BE32" s="1091">
        <v>15</v>
      </c>
      <c r="BF32" s="1094">
        <f>BE32*BE35/1000000*0.473</f>
        <v>2.90895E-3</v>
      </c>
      <c r="BG32" s="1101">
        <f>BE32*BE35/1000000*(1-0.473)</f>
        <v>3.2410500000000001E-3</v>
      </c>
      <c r="BH32" s="1091">
        <v>15</v>
      </c>
      <c r="BI32" s="1094">
        <f>BH32*BH35/1000000*0.473</f>
        <v>2.90895E-3</v>
      </c>
      <c r="BJ32" s="1101">
        <f>BH32*BH35/1000000*(1-0.473)</f>
        <v>3.2410500000000001E-3</v>
      </c>
      <c r="BK32" s="1091">
        <v>15</v>
      </c>
      <c r="BL32" s="1094">
        <f>BK32*BK35/1000000*0.473</f>
        <v>2.90895E-3</v>
      </c>
      <c r="BM32" s="1101">
        <f>BK32*BK35/1000000*(1-0.473)</f>
        <v>3.2410500000000001E-3</v>
      </c>
      <c r="BN32" s="1091">
        <v>20</v>
      </c>
      <c r="BO32" s="1094">
        <f>BN32*BN35/1000000*0.473</f>
        <v>3.8786000000000003E-3</v>
      </c>
      <c r="BP32" s="1101">
        <f>BN32*BN35/1000000*(1-0.473)</f>
        <v>4.3214000000000004E-3</v>
      </c>
      <c r="BQ32" s="1091">
        <v>20</v>
      </c>
      <c r="BR32" s="1094">
        <f>BQ32*BQ35/1000000*0.473</f>
        <v>3.8786000000000003E-3</v>
      </c>
      <c r="BS32" s="1101">
        <f>BQ32*BQ35/1000000*(1-0.473)</f>
        <v>4.3214000000000004E-3</v>
      </c>
      <c r="BT32" s="1091">
        <v>15</v>
      </c>
      <c r="BU32" s="1094">
        <f>BT32*BT35/1000000*0.473</f>
        <v>2.90895E-3</v>
      </c>
      <c r="BV32" s="1101">
        <f>BT32*BT35/1000000*(1-0.473)</f>
        <v>3.2410500000000001E-3</v>
      </c>
      <c r="BW32" s="1091">
        <v>15</v>
      </c>
      <c r="BX32" s="1094">
        <f>BW32*BW35/1000000*0.473</f>
        <v>2.90895E-3</v>
      </c>
      <c r="BY32" s="1101">
        <f>BW32*BW35/1000000*(1-0.473)</f>
        <v>3.2410500000000001E-3</v>
      </c>
      <c r="BZ32" s="1091">
        <v>15</v>
      </c>
      <c r="CA32" s="1094">
        <f>BZ32*BZ35/1000000*0.473</f>
        <v>2.90895E-3</v>
      </c>
      <c r="CB32" s="1101">
        <f>BZ32*BZ35/1000000*(1-0.473)</f>
        <v>3.2410500000000001E-3</v>
      </c>
    </row>
    <row r="33" spans="1:80" ht="7.5" customHeight="1" x14ac:dyDescent="0.2">
      <c r="A33" s="1026"/>
      <c r="B33" s="1027"/>
      <c r="C33" s="1028"/>
      <c r="D33" s="1033"/>
      <c r="E33" s="1026"/>
      <c r="F33" s="1028"/>
      <c r="G33" s="1026"/>
      <c r="H33" s="1027"/>
      <c r="I33" s="1092"/>
      <c r="J33" s="1095"/>
      <c r="K33" s="1102"/>
      <c r="L33" s="1092"/>
      <c r="M33" s="1095"/>
      <c r="N33" s="1102"/>
      <c r="O33" s="1092"/>
      <c r="P33" s="1095"/>
      <c r="Q33" s="1102"/>
      <c r="R33" s="1092"/>
      <c r="S33" s="1095"/>
      <c r="T33" s="1102"/>
      <c r="U33" s="1092"/>
      <c r="V33" s="1095"/>
      <c r="W33" s="1102"/>
      <c r="X33" s="1092"/>
      <c r="Y33" s="1095"/>
      <c r="Z33" s="1102"/>
      <c r="AA33" s="1092"/>
      <c r="AB33" s="1095"/>
      <c r="AC33" s="1102"/>
      <c r="AD33" s="1092"/>
      <c r="AE33" s="1095"/>
      <c r="AF33" s="1102"/>
      <c r="AG33" s="1092"/>
      <c r="AH33" s="1095"/>
      <c r="AI33" s="1102"/>
      <c r="AJ33" s="1092"/>
      <c r="AK33" s="1095"/>
      <c r="AL33" s="1102"/>
      <c r="AM33" s="1092"/>
      <c r="AN33" s="1095"/>
      <c r="AO33" s="1102"/>
      <c r="AP33" s="1092"/>
      <c r="AQ33" s="1095"/>
      <c r="AR33" s="1102"/>
      <c r="AS33" s="1092"/>
      <c r="AT33" s="1095"/>
      <c r="AU33" s="1102"/>
      <c r="AV33" s="1092"/>
      <c r="AW33" s="1095"/>
      <c r="AX33" s="1102"/>
      <c r="AY33" s="1092"/>
      <c r="AZ33" s="1095"/>
      <c r="BA33" s="1102"/>
      <c r="BB33" s="1092"/>
      <c r="BC33" s="1095"/>
      <c r="BD33" s="1102"/>
      <c r="BE33" s="1092"/>
      <c r="BF33" s="1095"/>
      <c r="BG33" s="1102"/>
      <c r="BH33" s="1092"/>
      <c r="BI33" s="1095"/>
      <c r="BJ33" s="1102"/>
      <c r="BK33" s="1092"/>
      <c r="BL33" s="1095"/>
      <c r="BM33" s="1102"/>
      <c r="BN33" s="1092"/>
      <c r="BO33" s="1095"/>
      <c r="BP33" s="1102"/>
      <c r="BQ33" s="1092"/>
      <c r="BR33" s="1095"/>
      <c r="BS33" s="1102"/>
      <c r="BT33" s="1092"/>
      <c r="BU33" s="1095"/>
      <c r="BV33" s="1102"/>
      <c r="BW33" s="1092"/>
      <c r="BX33" s="1095"/>
      <c r="BY33" s="1102"/>
      <c r="BZ33" s="1092"/>
      <c r="CA33" s="1095"/>
      <c r="CB33" s="1102"/>
    </row>
    <row r="34" spans="1:80" ht="7.5" customHeight="1" thickBot="1" x14ac:dyDescent="0.25">
      <c r="A34" s="1026"/>
      <c r="B34" s="1027"/>
      <c r="C34" s="1028"/>
      <c r="D34" s="1033"/>
      <c r="E34" s="1029"/>
      <c r="F34" s="1031"/>
      <c r="G34" s="1029"/>
      <c r="H34" s="1030"/>
      <c r="I34" s="1093"/>
      <c r="J34" s="1096"/>
      <c r="K34" s="1103"/>
      <c r="L34" s="1093"/>
      <c r="M34" s="1096"/>
      <c r="N34" s="1103"/>
      <c r="O34" s="1093"/>
      <c r="P34" s="1096"/>
      <c r="Q34" s="1103"/>
      <c r="R34" s="1093"/>
      <c r="S34" s="1096"/>
      <c r="T34" s="1103"/>
      <c r="U34" s="1093"/>
      <c r="V34" s="1096"/>
      <c r="W34" s="1103"/>
      <c r="X34" s="1093"/>
      <c r="Y34" s="1096"/>
      <c r="Z34" s="1103"/>
      <c r="AA34" s="1093"/>
      <c r="AB34" s="1096"/>
      <c r="AC34" s="1103"/>
      <c r="AD34" s="1093"/>
      <c r="AE34" s="1096"/>
      <c r="AF34" s="1103"/>
      <c r="AG34" s="1093"/>
      <c r="AH34" s="1096"/>
      <c r="AI34" s="1103"/>
      <c r="AJ34" s="1093"/>
      <c r="AK34" s="1096"/>
      <c r="AL34" s="1103"/>
      <c r="AM34" s="1093"/>
      <c r="AN34" s="1096"/>
      <c r="AO34" s="1103"/>
      <c r="AP34" s="1093"/>
      <c r="AQ34" s="1096"/>
      <c r="AR34" s="1103"/>
      <c r="AS34" s="1093"/>
      <c r="AT34" s="1096"/>
      <c r="AU34" s="1103"/>
      <c r="AV34" s="1093"/>
      <c r="AW34" s="1096"/>
      <c r="AX34" s="1103"/>
      <c r="AY34" s="1093"/>
      <c r="AZ34" s="1096"/>
      <c r="BA34" s="1103"/>
      <c r="BB34" s="1093"/>
      <c r="BC34" s="1096"/>
      <c r="BD34" s="1103"/>
      <c r="BE34" s="1093"/>
      <c r="BF34" s="1096"/>
      <c r="BG34" s="1103"/>
      <c r="BH34" s="1093"/>
      <c r="BI34" s="1096"/>
      <c r="BJ34" s="1103"/>
      <c r="BK34" s="1093"/>
      <c r="BL34" s="1096"/>
      <c r="BM34" s="1103"/>
      <c r="BN34" s="1093"/>
      <c r="BO34" s="1096"/>
      <c r="BP34" s="1103"/>
      <c r="BQ34" s="1093"/>
      <c r="BR34" s="1096"/>
      <c r="BS34" s="1103"/>
      <c r="BT34" s="1093"/>
      <c r="BU34" s="1096"/>
      <c r="BV34" s="1103"/>
      <c r="BW34" s="1093"/>
      <c r="BX34" s="1096"/>
      <c r="BY34" s="1103"/>
      <c r="BZ34" s="1093"/>
      <c r="CA34" s="1096"/>
      <c r="CB34" s="1103"/>
    </row>
    <row r="35" spans="1:80" ht="7.5" customHeight="1" x14ac:dyDescent="0.2">
      <c r="A35" s="1026"/>
      <c r="B35" s="1027"/>
      <c r="C35" s="1028"/>
      <c r="D35" s="1033"/>
      <c r="E35" s="1023" t="s">
        <v>14</v>
      </c>
      <c r="F35" s="1025"/>
      <c r="G35" s="1023" t="s">
        <v>47</v>
      </c>
      <c r="H35" s="1024"/>
      <c r="I35" s="1082">
        <v>410</v>
      </c>
      <c r="J35" s="1083"/>
      <c r="K35" s="1084"/>
      <c r="L35" s="1082">
        <v>410</v>
      </c>
      <c r="M35" s="1083"/>
      <c r="N35" s="1084"/>
      <c r="O35" s="1082">
        <v>410</v>
      </c>
      <c r="P35" s="1083"/>
      <c r="Q35" s="1084"/>
      <c r="R35" s="1082">
        <v>410</v>
      </c>
      <c r="S35" s="1083"/>
      <c r="T35" s="1084"/>
      <c r="U35" s="1082">
        <v>410</v>
      </c>
      <c r="V35" s="1083"/>
      <c r="W35" s="1084"/>
      <c r="X35" s="1082">
        <v>410</v>
      </c>
      <c r="Y35" s="1083"/>
      <c r="Z35" s="1084"/>
      <c r="AA35" s="1082">
        <v>410</v>
      </c>
      <c r="AB35" s="1083"/>
      <c r="AC35" s="1084"/>
      <c r="AD35" s="1082">
        <v>410</v>
      </c>
      <c r="AE35" s="1083"/>
      <c r="AF35" s="1084"/>
      <c r="AG35" s="1082">
        <v>410</v>
      </c>
      <c r="AH35" s="1083"/>
      <c r="AI35" s="1084"/>
      <c r="AJ35" s="1082">
        <v>410</v>
      </c>
      <c r="AK35" s="1083"/>
      <c r="AL35" s="1084"/>
      <c r="AM35" s="1082">
        <v>410</v>
      </c>
      <c r="AN35" s="1083"/>
      <c r="AO35" s="1084"/>
      <c r="AP35" s="1082">
        <v>410</v>
      </c>
      <c r="AQ35" s="1083"/>
      <c r="AR35" s="1084"/>
      <c r="AS35" s="1082">
        <v>410</v>
      </c>
      <c r="AT35" s="1083"/>
      <c r="AU35" s="1084"/>
      <c r="AV35" s="1082">
        <v>410</v>
      </c>
      <c r="AW35" s="1083"/>
      <c r="AX35" s="1084"/>
      <c r="AY35" s="1082">
        <v>410</v>
      </c>
      <c r="AZ35" s="1083"/>
      <c r="BA35" s="1084"/>
      <c r="BB35" s="1082">
        <v>410</v>
      </c>
      <c r="BC35" s="1083"/>
      <c r="BD35" s="1084"/>
      <c r="BE35" s="1082">
        <v>410</v>
      </c>
      <c r="BF35" s="1083"/>
      <c r="BG35" s="1084"/>
      <c r="BH35" s="1082">
        <v>410</v>
      </c>
      <c r="BI35" s="1083"/>
      <c r="BJ35" s="1084"/>
      <c r="BK35" s="1082">
        <v>410</v>
      </c>
      <c r="BL35" s="1083"/>
      <c r="BM35" s="1084"/>
      <c r="BN35" s="1082">
        <v>410</v>
      </c>
      <c r="BO35" s="1083"/>
      <c r="BP35" s="1084"/>
      <c r="BQ35" s="1082">
        <v>410</v>
      </c>
      <c r="BR35" s="1083"/>
      <c r="BS35" s="1084"/>
      <c r="BT35" s="1082">
        <v>410</v>
      </c>
      <c r="BU35" s="1083"/>
      <c r="BV35" s="1084"/>
      <c r="BW35" s="1082">
        <v>410</v>
      </c>
      <c r="BX35" s="1083"/>
      <c r="BY35" s="1084"/>
      <c r="BZ35" s="1082">
        <v>410</v>
      </c>
      <c r="CA35" s="1083"/>
      <c r="CB35" s="1084"/>
    </row>
    <row r="36" spans="1:80" ht="7.5" customHeight="1" x14ac:dyDescent="0.2">
      <c r="A36" s="1026"/>
      <c r="B36" s="1027"/>
      <c r="C36" s="1028"/>
      <c r="D36" s="1033"/>
      <c r="E36" s="1026"/>
      <c r="F36" s="1028"/>
      <c r="G36" s="1026"/>
      <c r="H36" s="1027"/>
      <c r="I36" s="1085"/>
      <c r="J36" s="1086"/>
      <c r="K36" s="1087"/>
      <c r="L36" s="1085"/>
      <c r="M36" s="1086"/>
      <c r="N36" s="1087"/>
      <c r="O36" s="1085"/>
      <c r="P36" s="1086"/>
      <c r="Q36" s="1087"/>
      <c r="R36" s="1085"/>
      <c r="S36" s="1086"/>
      <c r="T36" s="1087"/>
      <c r="U36" s="1085"/>
      <c r="V36" s="1086"/>
      <c r="W36" s="1087"/>
      <c r="X36" s="1085"/>
      <c r="Y36" s="1086"/>
      <c r="Z36" s="1087"/>
      <c r="AA36" s="1085"/>
      <c r="AB36" s="1086"/>
      <c r="AC36" s="1087"/>
      <c r="AD36" s="1085"/>
      <c r="AE36" s="1086"/>
      <c r="AF36" s="1087"/>
      <c r="AG36" s="1085"/>
      <c r="AH36" s="1086"/>
      <c r="AI36" s="1087"/>
      <c r="AJ36" s="1085"/>
      <c r="AK36" s="1086"/>
      <c r="AL36" s="1087"/>
      <c r="AM36" s="1085"/>
      <c r="AN36" s="1086"/>
      <c r="AO36" s="1087"/>
      <c r="AP36" s="1085"/>
      <c r="AQ36" s="1086"/>
      <c r="AR36" s="1087"/>
      <c r="AS36" s="1085"/>
      <c r="AT36" s="1086"/>
      <c r="AU36" s="1087"/>
      <c r="AV36" s="1085"/>
      <c r="AW36" s="1086"/>
      <c r="AX36" s="1087"/>
      <c r="AY36" s="1085"/>
      <c r="AZ36" s="1086"/>
      <c r="BA36" s="1087"/>
      <c r="BB36" s="1085"/>
      <c r="BC36" s="1086"/>
      <c r="BD36" s="1087"/>
      <c r="BE36" s="1085"/>
      <c r="BF36" s="1086"/>
      <c r="BG36" s="1087"/>
      <c r="BH36" s="1085"/>
      <c r="BI36" s="1086"/>
      <c r="BJ36" s="1087"/>
      <c r="BK36" s="1085"/>
      <c r="BL36" s="1086"/>
      <c r="BM36" s="1087"/>
      <c r="BN36" s="1085"/>
      <c r="BO36" s="1086"/>
      <c r="BP36" s="1087"/>
      <c r="BQ36" s="1085"/>
      <c r="BR36" s="1086"/>
      <c r="BS36" s="1087"/>
      <c r="BT36" s="1085"/>
      <c r="BU36" s="1086"/>
      <c r="BV36" s="1087"/>
      <c r="BW36" s="1085"/>
      <c r="BX36" s="1086"/>
      <c r="BY36" s="1087"/>
      <c r="BZ36" s="1085"/>
      <c r="CA36" s="1086"/>
      <c r="CB36" s="1087"/>
    </row>
    <row r="37" spans="1:80" ht="7.5" customHeight="1" thickBot="1" x14ac:dyDescent="0.25">
      <c r="A37" s="1029"/>
      <c r="B37" s="1030"/>
      <c r="C37" s="1031"/>
      <c r="D37" s="1034"/>
      <c r="E37" s="1029"/>
      <c r="F37" s="1031"/>
      <c r="G37" s="1029"/>
      <c r="H37" s="1030"/>
      <c r="I37" s="1088"/>
      <c r="J37" s="1089"/>
      <c r="K37" s="1090"/>
      <c r="L37" s="1088"/>
      <c r="M37" s="1089"/>
      <c r="N37" s="1090"/>
      <c r="O37" s="1088"/>
      <c r="P37" s="1089"/>
      <c r="Q37" s="1090"/>
      <c r="R37" s="1088"/>
      <c r="S37" s="1089"/>
      <c r="T37" s="1090"/>
      <c r="U37" s="1088"/>
      <c r="V37" s="1089"/>
      <c r="W37" s="1090"/>
      <c r="X37" s="1088"/>
      <c r="Y37" s="1089"/>
      <c r="Z37" s="1090"/>
      <c r="AA37" s="1088"/>
      <c r="AB37" s="1089"/>
      <c r="AC37" s="1090"/>
      <c r="AD37" s="1088"/>
      <c r="AE37" s="1089"/>
      <c r="AF37" s="1090"/>
      <c r="AG37" s="1088"/>
      <c r="AH37" s="1089"/>
      <c r="AI37" s="1090"/>
      <c r="AJ37" s="1088"/>
      <c r="AK37" s="1089"/>
      <c r="AL37" s="1090"/>
      <c r="AM37" s="1088"/>
      <c r="AN37" s="1089"/>
      <c r="AO37" s="1090"/>
      <c r="AP37" s="1088"/>
      <c r="AQ37" s="1089"/>
      <c r="AR37" s="1090"/>
      <c r="AS37" s="1088"/>
      <c r="AT37" s="1089"/>
      <c r="AU37" s="1090"/>
      <c r="AV37" s="1088"/>
      <c r="AW37" s="1089"/>
      <c r="AX37" s="1090"/>
      <c r="AY37" s="1088"/>
      <c r="AZ37" s="1089"/>
      <c r="BA37" s="1090"/>
      <c r="BB37" s="1088"/>
      <c r="BC37" s="1089"/>
      <c r="BD37" s="1090"/>
      <c r="BE37" s="1088"/>
      <c r="BF37" s="1089"/>
      <c r="BG37" s="1090"/>
      <c r="BH37" s="1088"/>
      <c r="BI37" s="1089"/>
      <c r="BJ37" s="1090"/>
      <c r="BK37" s="1088"/>
      <c r="BL37" s="1089"/>
      <c r="BM37" s="1090"/>
      <c r="BN37" s="1088"/>
      <c r="BO37" s="1089"/>
      <c r="BP37" s="1090"/>
      <c r="BQ37" s="1088"/>
      <c r="BR37" s="1089"/>
      <c r="BS37" s="1090"/>
      <c r="BT37" s="1088"/>
      <c r="BU37" s="1089"/>
      <c r="BV37" s="1090"/>
      <c r="BW37" s="1088"/>
      <c r="BX37" s="1089"/>
      <c r="BY37" s="1090"/>
      <c r="BZ37" s="1088"/>
      <c r="CA37" s="1089"/>
      <c r="CB37" s="1090"/>
    </row>
    <row r="38" spans="1:80" ht="24" customHeight="1" x14ac:dyDescent="0.25">
      <c r="A38" s="1048" t="s">
        <v>19</v>
      </c>
      <c r="B38" s="1049"/>
      <c r="C38" s="1049"/>
      <c r="D38" s="1050"/>
      <c r="E38" s="1035" t="s">
        <v>30</v>
      </c>
      <c r="F38" s="1053"/>
      <c r="G38" s="1053"/>
      <c r="H38" s="1036"/>
      <c r="I38" s="16"/>
      <c r="J38" s="10"/>
      <c r="K38" s="11"/>
      <c r="L38" s="17"/>
      <c r="M38" s="10"/>
      <c r="N38" s="11"/>
      <c r="O38" s="18"/>
      <c r="P38" s="10"/>
      <c r="Q38" s="11"/>
      <c r="R38" s="18"/>
      <c r="S38" s="10"/>
      <c r="T38" s="11"/>
      <c r="U38" s="16"/>
      <c r="V38" s="10"/>
      <c r="W38" s="11"/>
      <c r="X38" s="17"/>
      <c r="Y38" s="10"/>
      <c r="Z38" s="11"/>
      <c r="AA38" s="18"/>
      <c r="AB38" s="10"/>
      <c r="AC38" s="11"/>
      <c r="AD38" s="18"/>
      <c r="AE38" s="10"/>
      <c r="AF38" s="11"/>
      <c r="AG38" s="16"/>
      <c r="AH38" s="10"/>
      <c r="AI38" s="11"/>
      <c r="AJ38" s="17"/>
      <c r="AK38" s="10"/>
      <c r="AL38" s="11"/>
      <c r="AM38" s="18"/>
      <c r="AN38" s="10"/>
      <c r="AO38" s="11"/>
      <c r="AP38" s="18"/>
      <c r="AQ38" s="10"/>
      <c r="AR38" s="11"/>
      <c r="AS38" s="16"/>
      <c r="AT38" s="10"/>
      <c r="AU38" s="11"/>
      <c r="AV38" s="17"/>
      <c r="AW38" s="10"/>
      <c r="AX38" s="11"/>
      <c r="AY38" s="18"/>
      <c r="AZ38" s="10"/>
      <c r="BA38" s="11"/>
      <c r="BB38" s="18"/>
      <c r="BC38" s="10"/>
      <c r="BD38" s="11"/>
      <c r="BE38" s="16"/>
      <c r="BF38" s="10"/>
      <c r="BG38" s="11"/>
      <c r="BH38" s="17"/>
      <c r="BI38" s="10"/>
      <c r="BJ38" s="11"/>
      <c r="BK38" s="18"/>
      <c r="BL38" s="10"/>
      <c r="BM38" s="11"/>
      <c r="BN38" s="18"/>
      <c r="BO38" s="10"/>
      <c r="BP38" s="11"/>
      <c r="BQ38" s="16"/>
      <c r="BR38" s="10"/>
      <c r="BS38" s="11"/>
      <c r="BT38" s="17"/>
      <c r="BU38" s="10"/>
      <c r="BV38" s="11"/>
      <c r="BW38" s="18"/>
      <c r="BX38" s="10"/>
      <c r="BY38" s="11"/>
      <c r="BZ38" s="18"/>
      <c r="CA38" s="10"/>
      <c r="CB38" s="11"/>
    </row>
    <row r="39" spans="1:80" ht="19.5" customHeight="1" thickBot="1" x14ac:dyDescent="0.3">
      <c r="A39" s="1051"/>
      <c r="B39" s="1019"/>
      <c r="C39" s="1019"/>
      <c r="D39" s="1052"/>
      <c r="E39" s="1054" t="s">
        <v>30</v>
      </c>
      <c r="F39" s="1055"/>
      <c r="G39" s="1055"/>
      <c r="H39" s="1056"/>
      <c r="I39" s="19"/>
      <c r="J39" s="12"/>
      <c r="K39" s="20"/>
      <c r="L39" s="13"/>
      <c r="M39" s="12"/>
      <c r="N39" s="20"/>
      <c r="O39" s="21"/>
      <c r="P39" s="12"/>
      <c r="Q39" s="20"/>
      <c r="R39" s="21"/>
      <c r="S39" s="12"/>
      <c r="T39" s="20"/>
      <c r="U39" s="19"/>
      <c r="V39" s="12"/>
      <c r="W39" s="20"/>
      <c r="X39" s="13"/>
      <c r="Y39" s="12"/>
      <c r="Z39" s="20"/>
      <c r="AA39" s="21"/>
      <c r="AB39" s="12"/>
      <c r="AC39" s="20"/>
      <c r="AD39" s="21"/>
      <c r="AE39" s="12"/>
      <c r="AF39" s="20"/>
      <c r="AG39" s="19"/>
      <c r="AH39" s="12"/>
      <c r="AI39" s="20"/>
      <c r="AJ39" s="13"/>
      <c r="AK39" s="12"/>
      <c r="AL39" s="20"/>
      <c r="AM39" s="21"/>
      <c r="AN39" s="12"/>
      <c r="AO39" s="20"/>
      <c r="AP39" s="21"/>
      <c r="AQ39" s="12"/>
      <c r="AR39" s="20"/>
      <c r="AS39" s="19"/>
      <c r="AT39" s="12"/>
      <c r="AU39" s="20"/>
      <c r="AV39" s="13"/>
      <c r="AW39" s="12"/>
      <c r="AX39" s="20"/>
      <c r="AY39" s="21"/>
      <c r="AZ39" s="12"/>
      <c r="BA39" s="20"/>
      <c r="BB39" s="21"/>
      <c r="BC39" s="12"/>
      <c r="BD39" s="20"/>
      <c r="BE39" s="19"/>
      <c r="BF39" s="12"/>
      <c r="BG39" s="20"/>
      <c r="BH39" s="13"/>
      <c r="BI39" s="12"/>
      <c r="BJ39" s="20"/>
      <c r="BK39" s="21"/>
      <c r="BL39" s="12"/>
      <c r="BM39" s="20"/>
      <c r="BN39" s="21"/>
      <c r="BO39" s="12"/>
      <c r="BP39" s="20"/>
      <c r="BQ39" s="19"/>
      <c r="BR39" s="12"/>
      <c r="BS39" s="20"/>
      <c r="BT39" s="13"/>
      <c r="BU39" s="12"/>
      <c r="BV39" s="20"/>
      <c r="BW39" s="21"/>
      <c r="BX39" s="12"/>
      <c r="BY39" s="20"/>
      <c r="BZ39" s="21"/>
      <c r="CA39" s="12"/>
      <c r="CB39" s="20"/>
    </row>
    <row r="40" spans="1:80" ht="16.5" hidden="1" x14ac:dyDescent="0.25">
      <c r="A40" s="22"/>
      <c r="B40" s="23"/>
      <c r="C40" s="23"/>
      <c r="D40" s="42"/>
      <c r="E40" s="24"/>
      <c r="F40" s="1057"/>
      <c r="G40" s="1057"/>
      <c r="H40" s="23"/>
      <c r="I40" s="23"/>
      <c r="J40" s="23"/>
      <c r="K40" s="23"/>
      <c r="L40" s="23"/>
      <c r="M40" s="42"/>
      <c r="N40" s="1057"/>
      <c r="O40" s="1057"/>
      <c r="P40" s="42"/>
      <c r="Q40" s="1057"/>
      <c r="R40" s="1057"/>
      <c r="S40" s="42"/>
      <c r="T40" s="25"/>
      <c r="U40" s="6"/>
    </row>
    <row r="41" spans="1:80" ht="16.5" x14ac:dyDescent="0.25">
      <c r="A41" s="1058" t="s">
        <v>32</v>
      </c>
      <c r="B41" s="1059"/>
      <c r="C41" s="1059"/>
      <c r="D41" s="1059"/>
      <c r="E41" s="1059" t="s">
        <v>33</v>
      </c>
      <c r="F41" s="1059"/>
      <c r="G41" s="1059"/>
      <c r="H41" s="26"/>
      <c r="I41" s="26"/>
      <c r="J41" s="26"/>
      <c r="K41" s="26"/>
      <c r="L41" s="26"/>
      <c r="M41" s="44"/>
      <c r="N41" s="1060"/>
      <c r="O41" s="1060"/>
      <c r="P41" s="44"/>
      <c r="Q41" s="1060"/>
      <c r="R41" s="1060"/>
      <c r="S41" s="44"/>
      <c r="T41" s="75"/>
      <c r="U41" s="6"/>
    </row>
    <row r="42" spans="1:80" ht="16.5" x14ac:dyDescent="0.25">
      <c r="A42" s="1058" t="s">
        <v>32</v>
      </c>
      <c r="B42" s="1059"/>
      <c r="C42" s="1059"/>
      <c r="D42" s="1059"/>
      <c r="E42" s="1059" t="s">
        <v>33</v>
      </c>
      <c r="F42" s="1059"/>
      <c r="G42" s="1059"/>
      <c r="H42" s="26"/>
      <c r="I42" s="26"/>
      <c r="J42" s="26"/>
      <c r="K42" s="26"/>
      <c r="L42" s="26"/>
      <c r="M42" s="44"/>
      <c r="N42" s="1060"/>
      <c r="O42" s="1060"/>
      <c r="P42" s="44"/>
      <c r="Q42" s="1060"/>
      <c r="R42" s="1060"/>
      <c r="S42" s="44"/>
      <c r="T42" s="75"/>
      <c r="U42" s="6"/>
    </row>
    <row r="43" spans="1:80" ht="16.5" x14ac:dyDescent="0.25">
      <c r="A43" s="1058" t="s">
        <v>32</v>
      </c>
      <c r="B43" s="1059"/>
      <c r="C43" s="1059"/>
      <c r="D43" s="1059"/>
      <c r="E43" s="1059" t="s">
        <v>33</v>
      </c>
      <c r="F43" s="1059"/>
      <c r="G43" s="1059"/>
      <c r="H43" s="26"/>
      <c r="I43" s="26"/>
      <c r="J43" s="26"/>
      <c r="K43" s="26"/>
      <c r="L43" s="26"/>
      <c r="M43" s="44"/>
      <c r="N43" s="1060"/>
      <c r="O43" s="1060"/>
      <c r="P43" s="44"/>
      <c r="Q43" s="1060"/>
      <c r="R43" s="1060"/>
      <c r="S43" s="44"/>
      <c r="T43" s="75"/>
      <c r="U43" s="6"/>
    </row>
    <row r="44" spans="1:80" ht="17.25" thickBot="1" x14ac:dyDescent="0.3">
      <c r="A44" s="28"/>
      <c r="B44" s="29"/>
      <c r="C44" s="30"/>
      <c r="D44" s="43"/>
      <c r="E44" s="31"/>
      <c r="F44" s="1061"/>
      <c r="G44" s="1061"/>
      <c r="H44" s="29"/>
      <c r="I44" s="29"/>
      <c r="J44" s="29"/>
      <c r="K44" s="29"/>
      <c r="L44" s="29"/>
      <c r="M44" s="43"/>
      <c r="N44" s="1061"/>
      <c r="O44" s="1061"/>
      <c r="P44" s="43"/>
      <c r="Q44" s="1061"/>
      <c r="R44" s="1061"/>
      <c r="S44" s="43"/>
      <c r="T44" s="76"/>
      <c r="U44" s="6"/>
    </row>
    <row r="45" spans="1:80" ht="17.25" thickBot="1" x14ac:dyDescent="0.3">
      <c r="A45" s="1062" t="s">
        <v>20</v>
      </c>
      <c r="B45" s="1063"/>
      <c r="C45" s="1063"/>
      <c r="D45" s="1063"/>
      <c r="E45" s="1063"/>
      <c r="F45" s="1063"/>
      <c r="G45" s="1063"/>
      <c r="H45" s="1064"/>
      <c r="I45" s="1001" t="s">
        <v>3</v>
      </c>
      <c r="J45" s="1002"/>
      <c r="K45" s="1003"/>
      <c r="L45" s="1001" t="s">
        <v>4</v>
      </c>
      <c r="M45" s="1002"/>
      <c r="N45" s="1003"/>
      <c r="O45" s="1001" t="s">
        <v>102</v>
      </c>
      <c r="P45" s="1002"/>
      <c r="Q45" s="1003"/>
      <c r="R45" s="1001" t="s">
        <v>103</v>
      </c>
      <c r="S45" s="1002"/>
      <c r="T45" s="1003"/>
      <c r="U45" s="1001" t="s">
        <v>104</v>
      </c>
      <c r="V45" s="1002"/>
      <c r="W45" s="1003"/>
      <c r="X45" s="1001" t="s">
        <v>105</v>
      </c>
      <c r="Y45" s="1002"/>
      <c r="Z45" s="1003"/>
      <c r="AA45" s="1001" t="s">
        <v>106</v>
      </c>
      <c r="AB45" s="1002"/>
      <c r="AC45" s="1003"/>
      <c r="AD45" s="1001" t="s">
        <v>108</v>
      </c>
      <c r="AE45" s="1002"/>
      <c r="AF45" s="1003"/>
      <c r="AG45" s="1001" t="s">
        <v>107</v>
      </c>
      <c r="AH45" s="1002"/>
      <c r="AI45" s="1003"/>
      <c r="AJ45" s="1001" t="s">
        <v>109</v>
      </c>
      <c r="AK45" s="1002"/>
      <c r="AL45" s="1003"/>
      <c r="AM45" s="1001" t="s">
        <v>110</v>
      </c>
      <c r="AN45" s="1002"/>
      <c r="AO45" s="1003"/>
      <c r="AP45" s="1001" t="s">
        <v>111</v>
      </c>
      <c r="AQ45" s="1002"/>
      <c r="AR45" s="1003"/>
      <c r="AS45" s="1001" t="s">
        <v>112</v>
      </c>
      <c r="AT45" s="1002"/>
      <c r="AU45" s="1003"/>
      <c r="AV45" s="1001" t="s">
        <v>113</v>
      </c>
      <c r="AW45" s="1002"/>
      <c r="AX45" s="1003"/>
      <c r="AY45" s="1001" t="s">
        <v>114</v>
      </c>
      <c r="AZ45" s="1002"/>
      <c r="BA45" s="1003"/>
      <c r="BB45" s="1001" t="s">
        <v>115</v>
      </c>
      <c r="BC45" s="1002"/>
      <c r="BD45" s="1003"/>
      <c r="BE45" s="1001" t="s">
        <v>116</v>
      </c>
      <c r="BF45" s="1002"/>
      <c r="BG45" s="1003"/>
      <c r="BH45" s="1001" t="s">
        <v>117</v>
      </c>
      <c r="BI45" s="1002"/>
      <c r="BJ45" s="1003"/>
      <c r="BK45" s="1001" t="s">
        <v>118</v>
      </c>
      <c r="BL45" s="1002"/>
      <c r="BM45" s="1003"/>
      <c r="BN45" s="1001" t="s">
        <v>119</v>
      </c>
      <c r="BO45" s="1002"/>
      <c r="BP45" s="1003"/>
      <c r="BQ45" s="1001" t="s">
        <v>120</v>
      </c>
      <c r="BR45" s="1002"/>
      <c r="BS45" s="1003"/>
      <c r="BT45" s="1001" t="s">
        <v>121</v>
      </c>
      <c r="BU45" s="1002"/>
      <c r="BV45" s="1003"/>
      <c r="BW45" s="1001" t="s">
        <v>122</v>
      </c>
      <c r="BX45" s="1002"/>
      <c r="BY45" s="1003"/>
      <c r="BZ45" s="1001" t="s">
        <v>5</v>
      </c>
      <c r="CA45" s="1002"/>
      <c r="CB45" s="1003"/>
    </row>
    <row r="46" spans="1:80" ht="16.5" customHeight="1" x14ac:dyDescent="0.25">
      <c r="A46" s="1048" t="s">
        <v>21</v>
      </c>
      <c r="B46" s="1049"/>
      <c r="C46" s="1049"/>
      <c r="D46" s="1050"/>
      <c r="E46" s="1066" t="s">
        <v>22</v>
      </c>
      <c r="F46" s="1067"/>
      <c r="G46" s="1068" t="s">
        <v>23</v>
      </c>
      <c r="H46" s="1069"/>
      <c r="I46" s="1014" t="s">
        <v>9</v>
      </c>
      <c r="J46" s="1012" t="s">
        <v>10</v>
      </c>
      <c r="K46" s="1012" t="s">
        <v>11</v>
      </c>
      <c r="L46" s="1014" t="s">
        <v>9</v>
      </c>
      <c r="M46" s="1012" t="s">
        <v>10</v>
      </c>
      <c r="N46" s="1012" t="s">
        <v>11</v>
      </c>
      <c r="O46" s="1014" t="s">
        <v>9</v>
      </c>
      <c r="P46" s="1012" t="s">
        <v>10</v>
      </c>
      <c r="Q46" s="1012" t="s">
        <v>11</v>
      </c>
      <c r="R46" s="1014" t="s">
        <v>9</v>
      </c>
      <c r="S46" s="1012" t="s">
        <v>10</v>
      </c>
      <c r="T46" s="1010" t="s">
        <v>11</v>
      </c>
      <c r="U46" s="1014" t="s">
        <v>9</v>
      </c>
      <c r="V46" s="1012" t="s">
        <v>10</v>
      </c>
      <c r="W46" s="1012" t="s">
        <v>11</v>
      </c>
      <c r="X46" s="1014" t="s">
        <v>9</v>
      </c>
      <c r="Y46" s="1012" t="s">
        <v>10</v>
      </c>
      <c r="Z46" s="1012" t="s">
        <v>11</v>
      </c>
      <c r="AA46" s="1014" t="s">
        <v>9</v>
      </c>
      <c r="AB46" s="1012" t="s">
        <v>10</v>
      </c>
      <c r="AC46" s="1012" t="s">
        <v>11</v>
      </c>
      <c r="AD46" s="1014" t="s">
        <v>9</v>
      </c>
      <c r="AE46" s="1012" t="s">
        <v>10</v>
      </c>
      <c r="AF46" s="1010" t="s">
        <v>11</v>
      </c>
      <c r="AG46" s="1014" t="s">
        <v>9</v>
      </c>
      <c r="AH46" s="1012" t="s">
        <v>10</v>
      </c>
      <c r="AI46" s="1012" t="s">
        <v>11</v>
      </c>
      <c r="AJ46" s="1014" t="s">
        <v>9</v>
      </c>
      <c r="AK46" s="1012" t="s">
        <v>10</v>
      </c>
      <c r="AL46" s="1012" t="s">
        <v>11</v>
      </c>
      <c r="AM46" s="1014" t="s">
        <v>9</v>
      </c>
      <c r="AN46" s="1012" t="s">
        <v>10</v>
      </c>
      <c r="AO46" s="1012" t="s">
        <v>11</v>
      </c>
      <c r="AP46" s="1014" t="s">
        <v>9</v>
      </c>
      <c r="AQ46" s="1012" t="s">
        <v>10</v>
      </c>
      <c r="AR46" s="1010" t="s">
        <v>11</v>
      </c>
      <c r="AS46" s="1014" t="s">
        <v>9</v>
      </c>
      <c r="AT46" s="1012" t="s">
        <v>10</v>
      </c>
      <c r="AU46" s="1012" t="s">
        <v>11</v>
      </c>
      <c r="AV46" s="1014" t="s">
        <v>9</v>
      </c>
      <c r="AW46" s="1012" t="s">
        <v>10</v>
      </c>
      <c r="AX46" s="1012" t="s">
        <v>11</v>
      </c>
      <c r="AY46" s="1014" t="s">
        <v>9</v>
      </c>
      <c r="AZ46" s="1012" t="s">
        <v>10</v>
      </c>
      <c r="BA46" s="1012" t="s">
        <v>11</v>
      </c>
      <c r="BB46" s="1014" t="s">
        <v>9</v>
      </c>
      <c r="BC46" s="1012" t="s">
        <v>10</v>
      </c>
      <c r="BD46" s="1010" t="s">
        <v>11</v>
      </c>
      <c r="BE46" s="1014" t="s">
        <v>9</v>
      </c>
      <c r="BF46" s="1012" t="s">
        <v>10</v>
      </c>
      <c r="BG46" s="1012" t="s">
        <v>11</v>
      </c>
      <c r="BH46" s="1014" t="s">
        <v>9</v>
      </c>
      <c r="BI46" s="1012" t="s">
        <v>10</v>
      </c>
      <c r="BJ46" s="1012" t="s">
        <v>11</v>
      </c>
      <c r="BK46" s="1014" t="s">
        <v>9</v>
      </c>
      <c r="BL46" s="1012" t="s">
        <v>10</v>
      </c>
      <c r="BM46" s="1012" t="s">
        <v>11</v>
      </c>
      <c r="BN46" s="1014" t="s">
        <v>9</v>
      </c>
      <c r="BO46" s="1012" t="s">
        <v>10</v>
      </c>
      <c r="BP46" s="1010" t="s">
        <v>11</v>
      </c>
      <c r="BQ46" s="1014" t="s">
        <v>9</v>
      </c>
      <c r="BR46" s="1012" t="s">
        <v>10</v>
      </c>
      <c r="BS46" s="1012" t="s">
        <v>11</v>
      </c>
      <c r="BT46" s="1014" t="s">
        <v>9</v>
      </c>
      <c r="BU46" s="1012" t="s">
        <v>10</v>
      </c>
      <c r="BV46" s="1012" t="s">
        <v>11</v>
      </c>
      <c r="BW46" s="1014" t="s">
        <v>9</v>
      </c>
      <c r="BX46" s="1012" t="s">
        <v>10</v>
      </c>
      <c r="BY46" s="1012" t="s">
        <v>11</v>
      </c>
      <c r="BZ46" s="1014" t="s">
        <v>9</v>
      </c>
      <c r="CA46" s="1012" t="s">
        <v>10</v>
      </c>
      <c r="CB46" s="1010" t="s">
        <v>11</v>
      </c>
    </row>
    <row r="47" spans="1:80" ht="17.25" thickBot="1" x14ac:dyDescent="0.3">
      <c r="A47" s="1051"/>
      <c r="B47" s="1019"/>
      <c r="C47" s="1018"/>
      <c r="D47" s="1065"/>
      <c r="E47" s="33" t="s">
        <v>24</v>
      </c>
      <c r="F47" s="34" t="s">
        <v>25</v>
      </c>
      <c r="G47" s="34" t="s">
        <v>24</v>
      </c>
      <c r="H47" s="35" t="s">
        <v>25</v>
      </c>
      <c r="I47" s="1015"/>
      <c r="J47" s="1013"/>
      <c r="K47" s="1013"/>
      <c r="L47" s="1015"/>
      <c r="M47" s="1013"/>
      <c r="N47" s="1013"/>
      <c r="O47" s="1015"/>
      <c r="P47" s="1013"/>
      <c r="Q47" s="1013"/>
      <c r="R47" s="1015"/>
      <c r="S47" s="1013"/>
      <c r="T47" s="1011"/>
      <c r="U47" s="1015"/>
      <c r="V47" s="1013"/>
      <c r="W47" s="1013"/>
      <c r="X47" s="1015"/>
      <c r="Y47" s="1013"/>
      <c r="Z47" s="1013"/>
      <c r="AA47" s="1015"/>
      <c r="AB47" s="1013"/>
      <c r="AC47" s="1013"/>
      <c r="AD47" s="1015"/>
      <c r="AE47" s="1013"/>
      <c r="AF47" s="1011"/>
      <c r="AG47" s="1015"/>
      <c r="AH47" s="1013"/>
      <c r="AI47" s="1013"/>
      <c r="AJ47" s="1015"/>
      <c r="AK47" s="1013"/>
      <c r="AL47" s="1013"/>
      <c r="AM47" s="1015"/>
      <c r="AN47" s="1013"/>
      <c r="AO47" s="1013"/>
      <c r="AP47" s="1015"/>
      <c r="AQ47" s="1013"/>
      <c r="AR47" s="1011"/>
      <c r="AS47" s="1015"/>
      <c r="AT47" s="1013"/>
      <c r="AU47" s="1013"/>
      <c r="AV47" s="1015"/>
      <c r="AW47" s="1013"/>
      <c r="AX47" s="1013"/>
      <c r="AY47" s="1015"/>
      <c r="AZ47" s="1013"/>
      <c r="BA47" s="1013"/>
      <c r="BB47" s="1015"/>
      <c r="BC47" s="1013"/>
      <c r="BD47" s="1011"/>
      <c r="BE47" s="1015"/>
      <c r="BF47" s="1013"/>
      <c r="BG47" s="1013"/>
      <c r="BH47" s="1015"/>
      <c r="BI47" s="1013"/>
      <c r="BJ47" s="1013"/>
      <c r="BK47" s="1015"/>
      <c r="BL47" s="1013"/>
      <c r="BM47" s="1013"/>
      <c r="BN47" s="1015"/>
      <c r="BO47" s="1013"/>
      <c r="BP47" s="1011"/>
      <c r="BQ47" s="1015"/>
      <c r="BR47" s="1013"/>
      <c r="BS47" s="1013"/>
      <c r="BT47" s="1015"/>
      <c r="BU47" s="1013"/>
      <c r="BV47" s="1013"/>
      <c r="BW47" s="1015"/>
      <c r="BX47" s="1013"/>
      <c r="BY47" s="1013"/>
      <c r="BZ47" s="1015"/>
      <c r="CA47" s="1013"/>
      <c r="CB47" s="1011"/>
    </row>
    <row r="48" spans="1:80" ht="54" customHeight="1" thickBot="1" x14ac:dyDescent="0.25">
      <c r="A48" s="1071" t="s">
        <v>46</v>
      </c>
      <c r="B48" s="1080" t="s">
        <v>26</v>
      </c>
      <c r="C48" s="47" t="s">
        <v>57</v>
      </c>
      <c r="D48" s="48" t="s">
        <v>58</v>
      </c>
      <c r="E48" s="47" t="s">
        <v>124</v>
      </c>
      <c r="F48" s="134" t="s">
        <v>124</v>
      </c>
      <c r="G48" s="134" t="s">
        <v>124</v>
      </c>
      <c r="H48" s="135" t="s">
        <v>124</v>
      </c>
      <c r="I48" s="113">
        <v>157</v>
      </c>
      <c r="J48" s="114">
        <f>I48*I18/1000*0.8845</f>
        <v>1.388665</v>
      </c>
      <c r="K48" s="115">
        <f>I48*I18/1000*(1-0.8845)</f>
        <v>0.18133500000000008</v>
      </c>
      <c r="L48" s="113">
        <v>158</v>
      </c>
      <c r="M48" s="114">
        <f>L48*L18/1000*0.8845</f>
        <v>1.39751</v>
      </c>
      <c r="N48" s="115">
        <f>L48*L18/1000*(1-0.8845)</f>
        <v>0.18249000000000007</v>
      </c>
      <c r="O48" s="113">
        <v>158</v>
      </c>
      <c r="P48" s="114">
        <f>O48*O18/1000*0.8845</f>
        <v>1.39751</v>
      </c>
      <c r="Q48" s="115">
        <f>O48*O18/1000*(1-0.8845)</f>
        <v>0.18249000000000007</v>
      </c>
      <c r="R48" s="113">
        <v>158</v>
      </c>
      <c r="S48" s="114">
        <f>R48*R18/1000*0.8845</f>
        <v>1.39751</v>
      </c>
      <c r="T48" s="115">
        <f>R48*R18/1000*(1-0.8845)</f>
        <v>0.18249000000000007</v>
      </c>
      <c r="U48" s="113">
        <v>158</v>
      </c>
      <c r="V48" s="114">
        <f>U48*U18/1000*0.8845</f>
        <v>1.39751</v>
      </c>
      <c r="W48" s="115">
        <f>U48*U18/1000*(1-0.8845)</f>
        <v>0.18249000000000007</v>
      </c>
      <c r="X48" s="113">
        <v>158</v>
      </c>
      <c r="Y48" s="114">
        <f>X48*X18/1000*0.8845</f>
        <v>1.39751</v>
      </c>
      <c r="Z48" s="115">
        <f>X48*X18/1000*(1-0.8845)</f>
        <v>0.18249000000000007</v>
      </c>
      <c r="AA48" s="113">
        <v>158</v>
      </c>
      <c r="AB48" s="114">
        <f>AA48*AA18/1000*0.8845</f>
        <v>1.39751</v>
      </c>
      <c r="AC48" s="115">
        <f>AA48*AA18/1000*(1-0.8845)</f>
        <v>0.18249000000000007</v>
      </c>
      <c r="AD48" s="113">
        <v>158</v>
      </c>
      <c r="AE48" s="114">
        <f>AD48*AD18/1000*0.8845</f>
        <v>1.39751</v>
      </c>
      <c r="AF48" s="115">
        <f>AD48*AD18/1000*(1-0.8845)</f>
        <v>0.18249000000000007</v>
      </c>
      <c r="AG48" s="113">
        <v>200</v>
      </c>
      <c r="AH48" s="114">
        <f>AG48*AG18/1000*0.8845</f>
        <v>1.7689999999999999</v>
      </c>
      <c r="AI48" s="115">
        <f>AG48*AG18/1000*(1-0.8845)</f>
        <v>0.23100000000000009</v>
      </c>
      <c r="AJ48" s="113">
        <v>200</v>
      </c>
      <c r="AK48" s="114">
        <f>AJ48*AJ18/1000*0.8845</f>
        <v>1.7689999999999999</v>
      </c>
      <c r="AL48" s="115">
        <f>AJ48*AJ18/1000*(1-0.8845)</f>
        <v>0.23100000000000009</v>
      </c>
      <c r="AM48" s="113">
        <v>200</v>
      </c>
      <c r="AN48" s="114">
        <f>AM48*AM18/1000*0.8845</f>
        <v>1.7689999999999999</v>
      </c>
      <c r="AO48" s="115">
        <f>AM48*AM18/1000*(1-0.8845)</f>
        <v>0.23100000000000009</v>
      </c>
      <c r="AP48" s="113">
        <v>200</v>
      </c>
      <c r="AQ48" s="114">
        <f>AP48*AP18/1000*0.8845</f>
        <v>1.7689999999999999</v>
      </c>
      <c r="AR48" s="115">
        <f>AP48*AP18/1000*(1-0.8845)</f>
        <v>0.23100000000000009</v>
      </c>
      <c r="AS48" s="113">
        <v>200</v>
      </c>
      <c r="AT48" s="114">
        <f>AS48*AS18/1000*0.8845</f>
        <v>1.7689999999999999</v>
      </c>
      <c r="AU48" s="115">
        <f>AS48*AS18/1000*(1-0.8845)</f>
        <v>0.23100000000000009</v>
      </c>
      <c r="AV48" s="113">
        <v>200</v>
      </c>
      <c r="AW48" s="114">
        <f>AV48*AV18/1000*0.8845</f>
        <v>1.7689999999999999</v>
      </c>
      <c r="AX48" s="115">
        <f>AV48*AV18/1000*(1-0.8845)</f>
        <v>0.23100000000000009</v>
      </c>
      <c r="AY48" s="113">
        <v>210</v>
      </c>
      <c r="AZ48" s="114">
        <f>AY48*AY18/1000*0.8845</f>
        <v>1.85745</v>
      </c>
      <c r="BA48" s="115">
        <f>AY48*AY18/1000*(1-0.8845)</f>
        <v>0.2425500000000001</v>
      </c>
      <c r="BB48" s="113">
        <v>210</v>
      </c>
      <c r="BC48" s="114">
        <f>BB48*BB18/1000*0.8845</f>
        <v>1.85745</v>
      </c>
      <c r="BD48" s="115">
        <f>BB48*BB18/1000*(1-0.8845)</f>
        <v>0.2425500000000001</v>
      </c>
      <c r="BE48" s="113">
        <v>210</v>
      </c>
      <c r="BF48" s="114">
        <f>BE48*BE18/1000*0.8845</f>
        <v>1.85745</v>
      </c>
      <c r="BG48" s="115">
        <f>BE48*BE18/1000*(1-0.8845)</f>
        <v>0.2425500000000001</v>
      </c>
      <c r="BH48" s="113">
        <v>210</v>
      </c>
      <c r="BI48" s="114">
        <f>BH48*BH18/1000*0.8845</f>
        <v>1.85745</v>
      </c>
      <c r="BJ48" s="115">
        <f>BH48*BH18/1000*(1-0.8845)</f>
        <v>0.2425500000000001</v>
      </c>
      <c r="BK48" s="113">
        <v>210</v>
      </c>
      <c r="BL48" s="114">
        <f>BK48*BK18/1000*0.8845</f>
        <v>1.85745</v>
      </c>
      <c r="BM48" s="115">
        <f>BK48*BK18/1000*(1-0.8845)</f>
        <v>0.2425500000000001</v>
      </c>
      <c r="BN48" s="113">
        <v>200</v>
      </c>
      <c r="BO48" s="114">
        <f>BN48*BN18/1000*0.8845</f>
        <v>1.7689999999999999</v>
      </c>
      <c r="BP48" s="115">
        <f>BN48*BN18/1000*(1-0.8845)</f>
        <v>0.23100000000000009</v>
      </c>
      <c r="BQ48" s="113">
        <v>200</v>
      </c>
      <c r="BR48" s="114">
        <f>BQ48*BQ18/1000*0.8845</f>
        <v>1.7689999999999999</v>
      </c>
      <c r="BS48" s="115">
        <f>BQ48*BQ18/1000*(1-0.8845)</f>
        <v>0.23100000000000009</v>
      </c>
      <c r="BT48" s="113">
        <v>200</v>
      </c>
      <c r="BU48" s="114">
        <f>BT48*BT18/1000*0.8845</f>
        <v>1.7689999999999999</v>
      </c>
      <c r="BV48" s="115">
        <f>BT48*BT18/1000*(1-0.8845)</f>
        <v>0.23100000000000009</v>
      </c>
      <c r="BW48" s="113">
        <v>165</v>
      </c>
      <c r="BX48" s="114">
        <f>BW48*BW18/1000*0.8845</f>
        <v>1.4594249999999998</v>
      </c>
      <c r="BY48" s="115">
        <f>BW48*BW18/1000*(1-0.8845)</f>
        <v>0.19057500000000008</v>
      </c>
      <c r="BZ48" s="113">
        <v>165</v>
      </c>
      <c r="CA48" s="114">
        <f>BZ48*BZ18/1000*0.8845</f>
        <v>1.4594249999999998</v>
      </c>
      <c r="CB48" s="115">
        <f>BZ48*BZ18/1000*(1-0.8845)</f>
        <v>0.19057500000000008</v>
      </c>
    </row>
    <row r="49" spans="1:80" ht="54" customHeight="1" thickBot="1" x14ac:dyDescent="0.25">
      <c r="A49" s="1072"/>
      <c r="B49" s="1119"/>
      <c r="C49" s="56" t="s">
        <v>59</v>
      </c>
      <c r="D49" s="59" t="s">
        <v>60</v>
      </c>
      <c r="E49" s="47" t="s">
        <v>124</v>
      </c>
      <c r="F49" s="134" t="s">
        <v>124</v>
      </c>
      <c r="G49" s="134" t="s">
        <v>124</v>
      </c>
      <c r="H49" s="135" t="s">
        <v>124</v>
      </c>
      <c r="I49" s="116">
        <v>0</v>
      </c>
      <c r="J49" s="117">
        <v>0</v>
      </c>
      <c r="K49" s="118">
        <v>0</v>
      </c>
      <c r="L49" s="116">
        <v>0</v>
      </c>
      <c r="M49" s="117">
        <v>0</v>
      </c>
      <c r="N49" s="118">
        <v>0</v>
      </c>
      <c r="O49" s="116">
        <v>0</v>
      </c>
      <c r="P49" s="117">
        <v>0</v>
      </c>
      <c r="Q49" s="118">
        <v>0</v>
      </c>
      <c r="R49" s="116">
        <v>0</v>
      </c>
      <c r="S49" s="117">
        <v>0</v>
      </c>
      <c r="T49" s="118">
        <v>0</v>
      </c>
      <c r="U49" s="116">
        <v>0</v>
      </c>
      <c r="V49" s="117">
        <v>0</v>
      </c>
      <c r="W49" s="118">
        <v>0</v>
      </c>
      <c r="X49" s="116">
        <v>0</v>
      </c>
      <c r="Y49" s="117">
        <v>0</v>
      </c>
      <c r="Z49" s="118">
        <v>0</v>
      </c>
      <c r="AA49" s="116">
        <v>0</v>
      </c>
      <c r="AB49" s="117">
        <v>0</v>
      </c>
      <c r="AC49" s="118">
        <v>0</v>
      </c>
      <c r="AD49" s="116">
        <v>0</v>
      </c>
      <c r="AE49" s="117">
        <v>0</v>
      </c>
      <c r="AF49" s="118">
        <v>0</v>
      </c>
      <c r="AG49" s="116">
        <v>0</v>
      </c>
      <c r="AH49" s="117">
        <v>0</v>
      </c>
      <c r="AI49" s="118">
        <v>0</v>
      </c>
      <c r="AJ49" s="116">
        <v>0</v>
      </c>
      <c r="AK49" s="117">
        <v>0</v>
      </c>
      <c r="AL49" s="118">
        <v>0</v>
      </c>
      <c r="AM49" s="116">
        <v>0</v>
      </c>
      <c r="AN49" s="117">
        <v>0</v>
      </c>
      <c r="AO49" s="118">
        <v>0</v>
      </c>
      <c r="AP49" s="116">
        <v>0</v>
      </c>
      <c r="AQ49" s="117">
        <v>0</v>
      </c>
      <c r="AR49" s="118">
        <v>0</v>
      </c>
      <c r="AS49" s="116">
        <v>0</v>
      </c>
      <c r="AT49" s="117">
        <v>0</v>
      </c>
      <c r="AU49" s="118">
        <v>0</v>
      </c>
      <c r="AV49" s="116">
        <v>0</v>
      </c>
      <c r="AW49" s="117">
        <v>0</v>
      </c>
      <c r="AX49" s="118">
        <v>0</v>
      </c>
      <c r="AY49" s="116">
        <v>0</v>
      </c>
      <c r="AZ49" s="117">
        <v>0</v>
      </c>
      <c r="BA49" s="118">
        <v>0</v>
      </c>
      <c r="BB49" s="116">
        <v>0</v>
      </c>
      <c r="BC49" s="117">
        <v>0</v>
      </c>
      <c r="BD49" s="118">
        <v>0</v>
      </c>
      <c r="BE49" s="116">
        <v>0</v>
      </c>
      <c r="BF49" s="117">
        <v>0</v>
      </c>
      <c r="BG49" s="118">
        <v>0</v>
      </c>
      <c r="BH49" s="116">
        <v>0</v>
      </c>
      <c r="BI49" s="117">
        <v>0</v>
      </c>
      <c r="BJ49" s="118">
        <v>0</v>
      </c>
      <c r="BK49" s="116">
        <v>0</v>
      </c>
      <c r="BL49" s="117">
        <v>0</v>
      </c>
      <c r="BM49" s="118">
        <v>0</v>
      </c>
      <c r="BN49" s="116">
        <v>0</v>
      </c>
      <c r="BO49" s="117">
        <v>0</v>
      </c>
      <c r="BP49" s="118">
        <v>0</v>
      </c>
      <c r="BQ49" s="116">
        <v>0</v>
      </c>
      <c r="BR49" s="117">
        <v>0</v>
      </c>
      <c r="BS49" s="118">
        <v>0</v>
      </c>
      <c r="BT49" s="116">
        <v>0</v>
      </c>
      <c r="BU49" s="117">
        <v>0</v>
      </c>
      <c r="BV49" s="118">
        <v>0</v>
      </c>
      <c r="BW49" s="116">
        <v>0</v>
      </c>
      <c r="BX49" s="117">
        <v>0</v>
      </c>
      <c r="BY49" s="118">
        <v>0</v>
      </c>
      <c r="BZ49" s="116">
        <v>0</v>
      </c>
      <c r="CA49" s="117">
        <v>0</v>
      </c>
      <c r="CB49" s="118">
        <v>0</v>
      </c>
    </row>
    <row r="50" spans="1:80" ht="54" customHeight="1" thickBot="1" x14ac:dyDescent="0.25">
      <c r="A50" s="1072"/>
      <c r="B50" s="1119"/>
      <c r="C50" s="56" t="s">
        <v>61</v>
      </c>
      <c r="D50" s="59" t="s">
        <v>62</v>
      </c>
      <c r="E50" s="47" t="s">
        <v>124</v>
      </c>
      <c r="F50" s="134" t="s">
        <v>124</v>
      </c>
      <c r="G50" s="134" t="s">
        <v>124</v>
      </c>
      <c r="H50" s="135" t="s">
        <v>124</v>
      </c>
      <c r="I50" s="116">
        <v>0</v>
      </c>
      <c r="J50" s="117">
        <v>0</v>
      </c>
      <c r="K50" s="118">
        <v>0</v>
      </c>
      <c r="L50" s="116">
        <v>0</v>
      </c>
      <c r="M50" s="117">
        <v>0</v>
      </c>
      <c r="N50" s="118">
        <v>0</v>
      </c>
      <c r="O50" s="116">
        <v>0</v>
      </c>
      <c r="P50" s="117">
        <v>0</v>
      </c>
      <c r="Q50" s="118">
        <v>0</v>
      </c>
      <c r="R50" s="116">
        <v>0</v>
      </c>
      <c r="S50" s="117">
        <v>0</v>
      </c>
      <c r="T50" s="118">
        <v>0</v>
      </c>
      <c r="U50" s="116">
        <v>0</v>
      </c>
      <c r="V50" s="117">
        <v>0</v>
      </c>
      <c r="W50" s="118">
        <v>0</v>
      </c>
      <c r="X50" s="116">
        <v>0</v>
      </c>
      <c r="Y50" s="117">
        <v>0</v>
      </c>
      <c r="Z50" s="118">
        <v>0</v>
      </c>
      <c r="AA50" s="116">
        <v>0</v>
      </c>
      <c r="AB50" s="117">
        <v>0</v>
      </c>
      <c r="AC50" s="118">
        <v>0</v>
      </c>
      <c r="AD50" s="116">
        <v>0</v>
      </c>
      <c r="AE50" s="117">
        <v>0</v>
      </c>
      <c r="AF50" s="118">
        <v>0</v>
      </c>
      <c r="AG50" s="116">
        <v>0</v>
      </c>
      <c r="AH50" s="117">
        <v>0</v>
      </c>
      <c r="AI50" s="118">
        <v>0</v>
      </c>
      <c r="AJ50" s="116">
        <v>0</v>
      </c>
      <c r="AK50" s="117">
        <v>0</v>
      </c>
      <c r="AL50" s="118">
        <v>0</v>
      </c>
      <c r="AM50" s="116">
        <v>0</v>
      </c>
      <c r="AN50" s="117">
        <v>0</v>
      </c>
      <c r="AO50" s="118">
        <v>0</v>
      </c>
      <c r="AP50" s="116">
        <v>0</v>
      </c>
      <c r="AQ50" s="117">
        <v>0</v>
      </c>
      <c r="AR50" s="118">
        <v>0</v>
      </c>
      <c r="AS50" s="116">
        <v>0</v>
      </c>
      <c r="AT50" s="117">
        <v>0</v>
      </c>
      <c r="AU50" s="118">
        <v>0</v>
      </c>
      <c r="AV50" s="116">
        <v>0</v>
      </c>
      <c r="AW50" s="117">
        <v>0</v>
      </c>
      <c r="AX50" s="118">
        <v>0</v>
      </c>
      <c r="AY50" s="116">
        <v>0</v>
      </c>
      <c r="AZ50" s="117">
        <v>0</v>
      </c>
      <c r="BA50" s="118">
        <v>0</v>
      </c>
      <c r="BB50" s="116">
        <v>0</v>
      </c>
      <c r="BC50" s="117">
        <v>0</v>
      </c>
      <c r="BD50" s="118">
        <v>0</v>
      </c>
      <c r="BE50" s="116">
        <v>0</v>
      </c>
      <c r="BF50" s="117">
        <v>0</v>
      </c>
      <c r="BG50" s="118">
        <v>0</v>
      </c>
      <c r="BH50" s="116">
        <v>0</v>
      </c>
      <c r="BI50" s="117">
        <v>0</v>
      </c>
      <c r="BJ50" s="118">
        <v>0</v>
      </c>
      <c r="BK50" s="116">
        <v>0</v>
      </c>
      <c r="BL50" s="117">
        <v>0</v>
      </c>
      <c r="BM50" s="118">
        <v>0</v>
      </c>
      <c r="BN50" s="116">
        <v>0</v>
      </c>
      <c r="BO50" s="117">
        <v>0</v>
      </c>
      <c r="BP50" s="118">
        <v>0</v>
      </c>
      <c r="BQ50" s="116">
        <v>0</v>
      </c>
      <c r="BR50" s="117">
        <v>0</v>
      </c>
      <c r="BS50" s="118">
        <v>0</v>
      </c>
      <c r="BT50" s="116">
        <v>0</v>
      </c>
      <c r="BU50" s="117">
        <v>0</v>
      </c>
      <c r="BV50" s="118">
        <v>0</v>
      </c>
      <c r="BW50" s="116">
        <v>0</v>
      </c>
      <c r="BX50" s="117">
        <v>0</v>
      </c>
      <c r="BY50" s="118">
        <v>0</v>
      </c>
      <c r="BZ50" s="116">
        <v>0</v>
      </c>
      <c r="CA50" s="117">
        <v>0</v>
      </c>
      <c r="CB50" s="118">
        <v>0</v>
      </c>
    </row>
    <row r="51" spans="1:80" ht="54" customHeight="1" thickBot="1" x14ac:dyDescent="0.25">
      <c r="A51" s="1072"/>
      <c r="B51" s="1119"/>
      <c r="C51" s="56" t="s">
        <v>49</v>
      </c>
      <c r="D51" s="59" t="s">
        <v>63</v>
      </c>
      <c r="E51" s="47" t="s">
        <v>124</v>
      </c>
      <c r="F51" s="134" t="s">
        <v>124</v>
      </c>
      <c r="G51" s="134" t="s">
        <v>124</v>
      </c>
      <c r="H51" s="135" t="s">
        <v>124</v>
      </c>
      <c r="I51" s="116">
        <v>0</v>
      </c>
      <c r="J51" s="117">
        <v>0</v>
      </c>
      <c r="K51" s="118">
        <v>0</v>
      </c>
      <c r="L51" s="116">
        <v>0</v>
      </c>
      <c r="M51" s="117">
        <v>0</v>
      </c>
      <c r="N51" s="118">
        <v>0</v>
      </c>
      <c r="O51" s="116">
        <v>0</v>
      </c>
      <c r="P51" s="117">
        <v>0</v>
      </c>
      <c r="Q51" s="118">
        <v>0</v>
      </c>
      <c r="R51" s="116">
        <v>0</v>
      </c>
      <c r="S51" s="117">
        <v>0</v>
      </c>
      <c r="T51" s="118">
        <v>0</v>
      </c>
      <c r="U51" s="116">
        <v>0</v>
      </c>
      <c r="V51" s="117">
        <v>0</v>
      </c>
      <c r="W51" s="118">
        <v>0</v>
      </c>
      <c r="X51" s="116">
        <v>0</v>
      </c>
      <c r="Y51" s="117">
        <v>0</v>
      </c>
      <c r="Z51" s="118">
        <v>0</v>
      </c>
      <c r="AA51" s="116">
        <v>0</v>
      </c>
      <c r="AB51" s="117">
        <v>0</v>
      </c>
      <c r="AC51" s="118">
        <v>0</v>
      </c>
      <c r="AD51" s="116">
        <v>0</v>
      </c>
      <c r="AE51" s="117">
        <v>0</v>
      </c>
      <c r="AF51" s="118">
        <v>0</v>
      </c>
      <c r="AG51" s="116">
        <v>0</v>
      </c>
      <c r="AH51" s="117">
        <v>0</v>
      </c>
      <c r="AI51" s="118">
        <v>0</v>
      </c>
      <c r="AJ51" s="116">
        <v>0</v>
      </c>
      <c r="AK51" s="117">
        <v>0</v>
      </c>
      <c r="AL51" s="118">
        <v>0</v>
      </c>
      <c r="AM51" s="116">
        <v>0</v>
      </c>
      <c r="AN51" s="117">
        <v>0</v>
      </c>
      <c r="AO51" s="118">
        <v>0</v>
      </c>
      <c r="AP51" s="116">
        <v>0</v>
      </c>
      <c r="AQ51" s="117">
        <v>0</v>
      </c>
      <c r="AR51" s="118">
        <v>0</v>
      </c>
      <c r="AS51" s="116">
        <v>0</v>
      </c>
      <c r="AT51" s="117">
        <v>0</v>
      </c>
      <c r="AU51" s="118">
        <v>0</v>
      </c>
      <c r="AV51" s="116">
        <v>0</v>
      </c>
      <c r="AW51" s="117">
        <v>0</v>
      </c>
      <c r="AX51" s="118">
        <v>0</v>
      </c>
      <c r="AY51" s="116">
        <v>0</v>
      </c>
      <c r="AZ51" s="117">
        <v>0</v>
      </c>
      <c r="BA51" s="118">
        <v>0</v>
      </c>
      <c r="BB51" s="116">
        <v>0</v>
      </c>
      <c r="BC51" s="117">
        <v>0</v>
      </c>
      <c r="BD51" s="118">
        <v>0</v>
      </c>
      <c r="BE51" s="116">
        <v>0</v>
      </c>
      <c r="BF51" s="117">
        <v>0</v>
      </c>
      <c r="BG51" s="118">
        <v>0</v>
      </c>
      <c r="BH51" s="116">
        <v>0</v>
      </c>
      <c r="BI51" s="117">
        <v>0</v>
      </c>
      <c r="BJ51" s="118">
        <v>0</v>
      </c>
      <c r="BK51" s="116">
        <v>0</v>
      </c>
      <c r="BL51" s="117">
        <v>0</v>
      </c>
      <c r="BM51" s="118">
        <v>0</v>
      </c>
      <c r="BN51" s="116">
        <v>0</v>
      </c>
      <c r="BO51" s="117">
        <v>0</v>
      </c>
      <c r="BP51" s="118">
        <v>0</v>
      </c>
      <c r="BQ51" s="116">
        <v>0</v>
      </c>
      <c r="BR51" s="117">
        <v>0</v>
      </c>
      <c r="BS51" s="118">
        <v>0</v>
      </c>
      <c r="BT51" s="116">
        <v>0</v>
      </c>
      <c r="BU51" s="117">
        <v>0</v>
      </c>
      <c r="BV51" s="118">
        <v>0</v>
      </c>
      <c r="BW51" s="116">
        <v>0</v>
      </c>
      <c r="BX51" s="117">
        <v>0</v>
      </c>
      <c r="BY51" s="118">
        <v>0</v>
      </c>
      <c r="BZ51" s="116">
        <v>0</v>
      </c>
      <c r="CA51" s="117">
        <v>0</v>
      </c>
      <c r="CB51" s="118">
        <v>0</v>
      </c>
    </row>
    <row r="52" spans="1:80" ht="54" customHeight="1" thickBot="1" x14ac:dyDescent="0.25">
      <c r="A52" s="1072"/>
      <c r="B52" s="1119"/>
      <c r="C52" s="56" t="s">
        <v>64</v>
      </c>
      <c r="D52" s="59" t="s">
        <v>65</v>
      </c>
      <c r="E52" s="47" t="s">
        <v>124</v>
      </c>
      <c r="F52" s="134" t="s">
        <v>124</v>
      </c>
      <c r="G52" s="134" t="s">
        <v>124</v>
      </c>
      <c r="H52" s="135" t="s">
        <v>124</v>
      </c>
      <c r="I52" s="116">
        <v>19</v>
      </c>
      <c r="J52" s="117">
        <f>I52*I18/1000*0.8217</f>
        <v>0.15612300000000001</v>
      </c>
      <c r="K52" s="118">
        <f>I52*I18/1000*(1-0.8217)</f>
        <v>3.3877000000000004E-2</v>
      </c>
      <c r="L52" s="116">
        <v>20</v>
      </c>
      <c r="M52" s="117">
        <f>L52*L18/1000*0.8217</f>
        <v>0.16434000000000001</v>
      </c>
      <c r="N52" s="118">
        <f>L52*L18/1000*(1-0.8217)</f>
        <v>3.5660000000000004E-2</v>
      </c>
      <c r="O52" s="116">
        <v>20</v>
      </c>
      <c r="P52" s="117">
        <f>O52*O18/1000*0.8217</f>
        <v>0.16434000000000001</v>
      </c>
      <c r="Q52" s="118">
        <f>O52*O18/1000*(1-0.8217)</f>
        <v>3.5660000000000004E-2</v>
      </c>
      <c r="R52" s="116">
        <v>20</v>
      </c>
      <c r="S52" s="117">
        <f>R52*R18/1000*0.8217</f>
        <v>0.16434000000000001</v>
      </c>
      <c r="T52" s="118">
        <f>R52*R18/1000*(1-0.8217)</f>
        <v>3.5660000000000004E-2</v>
      </c>
      <c r="U52" s="116">
        <v>20</v>
      </c>
      <c r="V52" s="117">
        <f>U52*U18/1000*0.8217</f>
        <v>0.16434000000000001</v>
      </c>
      <c r="W52" s="118">
        <f>U52*U18/1000*(1-0.8217)</f>
        <v>3.5660000000000004E-2</v>
      </c>
      <c r="X52" s="116">
        <v>20</v>
      </c>
      <c r="Y52" s="117">
        <f>X52*X18/1000*0.8217</f>
        <v>0.16434000000000001</v>
      </c>
      <c r="Z52" s="118">
        <f>X52*X18/1000*(1-0.8217)</f>
        <v>3.5660000000000004E-2</v>
      </c>
      <c r="AA52" s="116">
        <v>20</v>
      </c>
      <c r="AB52" s="117">
        <f>AA52*AA18/1000*0.8217</f>
        <v>0.16434000000000001</v>
      </c>
      <c r="AC52" s="118">
        <f>AA52*AA18/1000*(1-0.8217)</f>
        <v>3.5660000000000004E-2</v>
      </c>
      <c r="AD52" s="116">
        <v>20</v>
      </c>
      <c r="AE52" s="117">
        <f>AD52*AD18/1000*0.8217</f>
        <v>0.16434000000000001</v>
      </c>
      <c r="AF52" s="118">
        <f>AD52*AD18/1000*(1-0.8217)</f>
        <v>3.5660000000000004E-2</v>
      </c>
      <c r="AG52" s="116">
        <v>20</v>
      </c>
      <c r="AH52" s="117">
        <f>AG52*AG18/1000*0.8217</f>
        <v>0.16434000000000001</v>
      </c>
      <c r="AI52" s="118">
        <f>AG52*AG18/1000*(1-0.8217)</f>
        <v>3.5660000000000004E-2</v>
      </c>
      <c r="AJ52" s="116">
        <v>20</v>
      </c>
      <c r="AK52" s="117">
        <f>AJ52*AJ18/1000*0.8217</f>
        <v>0.16434000000000001</v>
      </c>
      <c r="AL52" s="118">
        <f>AJ52*AJ18/1000*(1-0.8217)</f>
        <v>3.5660000000000004E-2</v>
      </c>
      <c r="AM52" s="116">
        <v>20</v>
      </c>
      <c r="AN52" s="117">
        <f>AM52*AM18/1000*0.8217</f>
        <v>0.16434000000000001</v>
      </c>
      <c r="AO52" s="118">
        <f>AM52*AM18/1000*(1-0.8217)</f>
        <v>3.5660000000000004E-2</v>
      </c>
      <c r="AP52" s="116">
        <v>20</v>
      </c>
      <c r="AQ52" s="117">
        <f>AP52*AP18/1000*0.8217</f>
        <v>0.16434000000000001</v>
      </c>
      <c r="AR52" s="118">
        <f>AP52*AP18/1000*(1-0.8217)</f>
        <v>3.5660000000000004E-2</v>
      </c>
      <c r="AS52" s="116">
        <v>20</v>
      </c>
      <c r="AT52" s="117">
        <f>AS52*AS18/1000*0.8217</f>
        <v>0.16434000000000001</v>
      </c>
      <c r="AU52" s="118">
        <f>AS52*AS18/1000*(1-0.8217)</f>
        <v>3.5660000000000004E-2</v>
      </c>
      <c r="AV52" s="116">
        <v>20</v>
      </c>
      <c r="AW52" s="117">
        <f>AV52*AV18/1000*0.8217</f>
        <v>0.16434000000000001</v>
      </c>
      <c r="AX52" s="118">
        <f>AV52*AV18/1000*(1-0.8217)</f>
        <v>3.5660000000000004E-2</v>
      </c>
      <c r="AY52" s="116">
        <v>20</v>
      </c>
      <c r="AZ52" s="117">
        <f>AY52*AY18/1000*0.8217</f>
        <v>0.16434000000000001</v>
      </c>
      <c r="BA52" s="118">
        <f>AY52*AY18/1000*(1-0.8217)</f>
        <v>3.5660000000000004E-2</v>
      </c>
      <c r="BB52" s="116">
        <v>20</v>
      </c>
      <c r="BC52" s="117">
        <f>BB52*BB18/1000*0.8217</f>
        <v>0.16434000000000001</v>
      </c>
      <c r="BD52" s="118">
        <f>BB52*BB18/1000*(1-0.8217)</f>
        <v>3.5660000000000004E-2</v>
      </c>
      <c r="BE52" s="116">
        <v>20</v>
      </c>
      <c r="BF52" s="117">
        <f>BE52*BE18/1000*0.8217</f>
        <v>0.16434000000000001</v>
      </c>
      <c r="BG52" s="118">
        <f>BE52*BE18/1000*(1-0.8217)</f>
        <v>3.5660000000000004E-2</v>
      </c>
      <c r="BH52" s="116">
        <v>20</v>
      </c>
      <c r="BI52" s="117">
        <f>BH52*BH18/1000*0.8217</f>
        <v>0.16434000000000001</v>
      </c>
      <c r="BJ52" s="118">
        <f>BH52*BH18/1000*(1-0.8217)</f>
        <v>3.5660000000000004E-2</v>
      </c>
      <c r="BK52" s="116">
        <v>20</v>
      </c>
      <c r="BL52" s="117">
        <f>BK52*BK18/1000*0.8217</f>
        <v>0.16434000000000001</v>
      </c>
      <c r="BM52" s="118">
        <f>BK52*BK18/1000*(1-0.8217)</f>
        <v>3.5660000000000004E-2</v>
      </c>
      <c r="BN52" s="116">
        <v>20</v>
      </c>
      <c r="BO52" s="117">
        <f>BN52*BN18/1000*0.8217</f>
        <v>0.16434000000000001</v>
      </c>
      <c r="BP52" s="118">
        <f>BN52*BN18/1000*(1-0.8217)</f>
        <v>3.5660000000000004E-2</v>
      </c>
      <c r="BQ52" s="116">
        <v>20</v>
      </c>
      <c r="BR52" s="117">
        <f>BQ52*BQ18/1000*0.8217</f>
        <v>0.16434000000000001</v>
      </c>
      <c r="BS52" s="118">
        <f>BQ52*BQ18/1000*(1-0.8217)</f>
        <v>3.5660000000000004E-2</v>
      </c>
      <c r="BT52" s="116">
        <v>20</v>
      </c>
      <c r="BU52" s="117">
        <f>BT52*BT18/1000*0.8217</f>
        <v>0.16434000000000001</v>
      </c>
      <c r="BV52" s="118">
        <f>BT52*BT18/1000*(1-0.8217)</f>
        <v>3.5660000000000004E-2</v>
      </c>
      <c r="BW52" s="116">
        <v>10</v>
      </c>
      <c r="BX52" s="117">
        <f>BW52*BW18/1000*0.8217</f>
        <v>8.2170000000000007E-2</v>
      </c>
      <c r="BY52" s="118">
        <f>BW52*BW18/1000*(1-0.8217)</f>
        <v>1.7830000000000002E-2</v>
      </c>
      <c r="BZ52" s="116">
        <v>10</v>
      </c>
      <c r="CA52" s="117">
        <f>BZ52*BZ18/1000*0.8217</f>
        <v>8.2170000000000007E-2</v>
      </c>
      <c r="CB52" s="118">
        <f>BZ52*BZ18/1000*(1-0.8217)</f>
        <v>1.7830000000000002E-2</v>
      </c>
    </row>
    <row r="53" spans="1:80" ht="54" customHeight="1" thickBot="1" x14ac:dyDescent="0.25">
      <c r="A53" s="1072"/>
      <c r="B53" s="1119"/>
      <c r="C53" s="56" t="s">
        <v>68</v>
      </c>
      <c r="D53" s="59" t="s">
        <v>66</v>
      </c>
      <c r="E53" s="47" t="s">
        <v>124</v>
      </c>
      <c r="F53" s="134" t="s">
        <v>124</v>
      </c>
      <c r="G53" s="134" t="s">
        <v>124</v>
      </c>
      <c r="H53" s="135" t="s">
        <v>124</v>
      </c>
      <c r="I53" s="116">
        <v>0</v>
      </c>
      <c r="J53" s="117">
        <v>0</v>
      </c>
      <c r="K53" s="118">
        <v>0</v>
      </c>
      <c r="L53" s="116">
        <v>0</v>
      </c>
      <c r="M53" s="117">
        <v>0</v>
      </c>
      <c r="N53" s="118">
        <v>0</v>
      </c>
      <c r="O53" s="116">
        <v>0</v>
      </c>
      <c r="P53" s="117">
        <v>0</v>
      </c>
      <c r="Q53" s="118">
        <v>0</v>
      </c>
      <c r="R53" s="116">
        <v>0</v>
      </c>
      <c r="S53" s="117">
        <v>0</v>
      </c>
      <c r="T53" s="118">
        <v>0</v>
      </c>
      <c r="U53" s="116">
        <v>0</v>
      </c>
      <c r="V53" s="117">
        <v>0</v>
      </c>
      <c r="W53" s="118">
        <v>0</v>
      </c>
      <c r="X53" s="116">
        <v>0</v>
      </c>
      <c r="Y53" s="117">
        <v>0</v>
      </c>
      <c r="Z53" s="118">
        <v>0</v>
      </c>
      <c r="AA53" s="116">
        <v>0</v>
      </c>
      <c r="AB53" s="117">
        <v>0</v>
      </c>
      <c r="AC53" s="118">
        <v>0</v>
      </c>
      <c r="AD53" s="116">
        <v>0</v>
      </c>
      <c r="AE53" s="117">
        <v>0</v>
      </c>
      <c r="AF53" s="118">
        <v>0</v>
      </c>
      <c r="AG53" s="116">
        <v>0</v>
      </c>
      <c r="AH53" s="117">
        <v>0</v>
      </c>
      <c r="AI53" s="118">
        <v>0</v>
      </c>
      <c r="AJ53" s="116">
        <v>0</v>
      </c>
      <c r="AK53" s="117">
        <v>0</v>
      </c>
      <c r="AL53" s="118">
        <v>0</v>
      </c>
      <c r="AM53" s="116">
        <v>0</v>
      </c>
      <c r="AN53" s="117">
        <v>0</v>
      </c>
      <c r="AO53" s="118">
        <v>0</v>
      </c>
      <c r="AP53" s="116">
        <v>0</v>
      </c>
      <c r="AQ53" s="117">
        <v>0</v>
      </c>
      <c r="AR53" s="118">
        <v>0</v>
      </c>
      <c r="AS53" s="116">
        <v>0</v>
      </c>
      <c r="AT53" s="117">
        <v>0</v>
      </c>
      <c r="AU53" s="118">
        <v>0</v>
      </c>
      <c r="AV53" s="116">
        <v>0</v>
      </c>
      <c r="AW53" s="117">
        <v>0</v>
      </c>
      <c r="AX53" s="118">
        <v>0</v>
      </c>
      <c r="AY53" s="116">
        <v>0</v>
      </c>
      <c r="AZ53" s="117">
        <v>0</v>
      </c>
      <c r="BA53" s="118">
        <v>0</v>
      </c>
      <c r="BB53" s="116">
        <v>0</v>
      </c>
      <c r="BC53" s="117">
        <v>0</v>
      </c>
      <c r="BD53" s="118">
        <v>0</v>
      </c>
      <c r="BE53" s="116">
        <v>0</v>
      </c>
      <c r="BF53" s="117">
        <v>0</v>
      </c>
      <c r="BG53" s="118">
        <v>0</v>
      </c>
      <c r="BH53" s="116">
        <v>0</v>
      </c>
      <c r="BI53" s="117">
        <v>0</v>
      </c>
      <c r="BJ53" s="118">
        <v>0</v>
      </c>
      <c r="BK53" s="116">
        <v>0</v>
      </c>
      <c r="BL53" s="117">
        <v>0</v>
      </c>
      <c r="BM53" s="118">
        <v>0</v>
      </c>
      <c r="BN53" s="116">
        <v>0</v>
      </c>
      <c r="BO53" s="117">
        <v>0</v>
      </c>
      <c r="BP53" s="118">
        <v>0</v>
      </c>
      <c r="BQ53" s="116">
        <v>0</v>
      </c>
      <c r="BR53" s="117">
        <v>0</v>
      </c>
      <c r="BS53" s="118">
        <v>0</v>
      </c>
      <c r="BT53" s="116">
        <v>0</v>
      </c>
      <c r="BU53" s="117">
        <v>0</v>
      </c>
      <c r="BV53" s="118">
        <v>0</v>
      </c>
      <c r="BW53" s="116">
        <v>0</v>
      </c>
      <c r="BX53" s="117">
        <v>0</v>
      </c>
      <c r="BY53" s="118">
        <v>0</v>
      </c>
      <c r="BZ53" s="116">
        <v>0</v>
      </c>
      <c r="CA53" s="117">
        <v>0</v>
      </c>
      <c r="CB53" s="118">
        <v>0</v>
      </c>
    </row>
    <row r="54" spans="1:80" ht="54" customHeight="1" thickBot="1" x14ac:dyDescent="0.25">
      <c r="A54" s="1072"/>
      <c r="B54" s="1119"/>
      <c r="C54" s="56" t="s">
        <v>67</v>
      </c>
      <c r="D54" s="59" t="s">
        <v>69</v>
      </c>
      <c r="E54" s="47" t="s">
        <v>124</v>
      </c>
      <c r="F54" s="134" t="s">
        <v>124</v>
      </c>
      <c r="G54" s="134" t="s">
        <v>124</v>
      </c>
      <c r="H54" s="135" t="s">
        <v>124</v>
      </c>
      <c r="I54" s="116">
        <v>32</v>
      </c>
      <c r="J54" s="117">
        <f>I54*I18/1000*0.7976</f>
        <v>0.25523200000000001</v>
      </c>
      <c r="K54" s="118">
        <f>I54*I18/1000*(1-0.7976)</f>
        <v>6.4768000000000006E-2</v>
      </c>
      <c r="L54" s="116">
        <v>36</v>
      </c>
      <c r="M54" s="117">
        <f>L54*L18/1000*0.7976</f>
        <v>0.287136</v>
      </c>
      <c r="N54" s="118">
        <f>L54*L18/1000*(1-0.7976)</f>
        <v>7.2864000000000012E-2</v>
      </c>
      <c r="O54" s="116">
        <v>36</v>
      </c>
      <c r="P54" s="117">
        <f>O54*O18/1000*0.7976</f>
        <v>0.287136</v>
      </c>
      <c r="Q54" s="118">
        <f>O54*O18/1000*(1-0.7976)</f>
        <v>7.2864000000000012E-2</v>
      </c>
      <c r="R54" s="116">
        <v>36</v>
      </c>
      <c r="S54" s="117">
        <f>R54*R18/1000*0.7976</f>
        <v>0.287136</v>
      </c>
      <c r="T54" s="118">
        <f>R54*R18/1000*(1-0.7976)</f>
        <v>7.2864000000000012E-2</v>
      </c>
      <c r="U54" s="116">
        <v>36</v>
      </c>
      <c r="V54" s="117">
        <f>U54*U18/1000*0.7976</f>
        <v>0.287136</v>
      </c>
      <c r="W54" s="118">
        <f>U54*U18/1000*(1-0.7976)</f>
        <v>7.2864000000000012E-2</v>
      </c>
      <c r="X54" s="116">
        <v>36</v>
      </c>
      <c r="Y54" s="117">
        <f>X54*X18/1000*0.7976</f>
        <v>0.287136</v>
      </c>
      <c r="Z54" s="118">
        <f>X54*X18/1000*(1-0.7976)</f>
        <v>7.2864000000000012E-2</v>
      </c>
      <c r="AA54" s="116">
        <v>36</v>
      </c>
      <c r="AB54" s="117">
        <f>AA54*AA18/1000*0.7976</f>
        <v>0.287136</v>
      </c>
      <c r="AC54" s="118">
        <f>AA54*AA18/1000*(1-0.7976)</f>
        <v>7.2864000000000012E-2</v>
      </c>
      <c r="AD54" s="116">
        <v>36</v>
      </c>
      <c r="AE54" s="117">
        <f>AD54*AD18/1000*0.7976</f>
        <v>0.287136</v>
      </c>
      <c r="AF54" s="118">
        <f>AD54*AD18/1000*(1-0.7976)</f>
        <v>7.2864000000000012E-2</v>
      </c>
      <c r="AG54" s="116">
        <v>57</v>
      </c>
      <c r="AH54" s="117">
        <f>AG54*AG18/1000*0.7976</f>
        <v>0.45463199999999993</v>
      </c>
      <c r="AI54" s="118">
        <f>AG54*AG18/1000*(1-0.7976)</f>
        <v>0.115368</v>
      </c>
      <c r="AJ54" s="116">
        <v>57</v>
      </c>
      <c r="AK54" s="117">
        <f>AJ54*AJ18/1000*0.7976</f>
        <v>0.45463199999999993</v>
      </c>
      <c r="AL54" s="118">
        <f>AJ54*AJ18/1000*(1-0.7976)</f>
        <v>0.115368</v>
      </c>
      <c r="AM54" s="116">
        <v>57</v>
      </c>
      <c r="AN54" s="117">
        <f>AM54*AM18/1000*0.7976</f>
        <v>0.45463199999999993</v>
      </c>
      <c r="AO54" s="118">
        <f>AM54*AM18/1000*(1-0.7976)</f>
        <v>0.115368</v>
      </c>
      <c r="AP54" s="116">
        <v>57</v>
      </c>
      <c r="AQ54" s="117">
        <f>AP54*AP18/1000*0.7976</f>
        <v>0.45463199999999993</v>
      </c>
      <c r="AR54" s="118">
        <f>AP54*AP18/1000*(1-0.7976)</f>
        <v>0.115368</v>
      </c>
      <c r="AS54" s="116">
        <v>57</v>
      </c>
      <c r="AT54" s="117">
        <f>AS54*AS18/1000*0.7976</f>
        <v>0.45463199999999993</v>
      </c>
      <c r="AU54" s="118">
        <f>AS54*AS18/1000*(1-0.7976)</f>
        <v>0.115368</v>
      </c>
      <c r="AV54" s="116">
        <v>57</v>
      </c>
      <c r="AW54" s="117">
        <f>AV54*AV18/1000*0.7976</f>
        <v>0.45463199999999993</v>
      </c>
      <c r="AX54" s="118">
        <f>AV54*AV18/1000*(1-0.7976)</f>
        <v>0.115368</v>
      </c>
      <c r="AY54" s="116">
        <v>70</v>
      </c>
      <c r="AZ54" s="117">
        <f>AY54*AY18/1000*0.7976</f>
        <v>0.55831999999999993</v>
      </c>
      <c r="BA54" s="118">
        <f>AY54*AY18/1000*(1-0.7976)</f>
        <v>0.14168</v>
      </c>
      <c r="BB54" s="116">
        <v>70</v>
      </c>
      <c r="BC54" s="117">
        <f>BB54*BB18/1000*0.7976</f>
        <v>0.55831999999999993</v>
      </c>
      <c r="BD54" s="118">
        <f>BB54*BB18/1000*(1-0.7976)</f>
        <v>0.14168</v>
      </c>
      <c r="BE54" s="116">
        <v>70</v>
      </c>
      <c r="BF54" s="117">
        <f>BE54*BE18/1000*0.7976</f>
        <v>0.55831999999999993</v>
      </c>
      <c r="BG54" s="118">
        <f>BE54*BE18/1000*(1-0.7976)</f>
        <v>0.14168</v>
      </c>
      <c r="BH54" s="116">
        <v>70</v>
      </c>
      <c r="BI54" s="117">
        <f>BH54*BH18/1000*0.7976</f>
        <v>0.55831999999999993</v>
      </c>
      <c r="BJ54" s="118">
        <f>BH54*BH18/1000*(1-0.7976)</f>
        <v>0.14168</v>
      </c>
      <c r="BK54" s="116">
        <v>70</v>
      </c>
      <c r="BL54" s="117">
        <f>BK54*BK18/1000*0.7976</f>
        <v>0.55831999999999993</v>
      </c>
      <c r="BM54" s="118">
        <f>BK54*BK18/1000*(1-0.7976)</f>
        <v>0.14168</v>
      </c>
      <c r="BN54" s="116">
        <v>70</v>
      </c>
      <c r="BO54" s="117">
        <f>BN54*BN18/1000*0.7976</f>
        <v>0.55831999999999993</v>
      </c>
      <c r="BP54" s="118">
        <f>BN54*BN18/1000*(1-0.7976)</f>
        <v>0.14168</v>
      </c>
      <c r="BQ54" s="116">
        <v>70</v>
      </c>
      <c r="BR54" s="117">
        <f>BQ54*BQ18/1000*0.7976</f>
        <v>0.55831999999999993</v>
      </c>
      <c r="BS54" s="118">
        <f>BQ54*BQ18/1000*(1-0.7976)</f>
        <v>0.14168</v>
      </c>
      <c r="BT54" s="116">
        <v>70</v>
      </c>
      <c r="BU54" s="117">
        <f>BT54*BT18/1000*0.7976</f>
        <v>0.55831999999999993</v>
      </c>
      <c r="BV54" s="118">
        <f>BT54*BT18/1000*(1-0.7976)</f>
        <v>0.14168</v>
      </c>
      <c r="BW54" s="116">
        <v>36</v>
      </c>
      <c r="BX54" s="117">
        <f>BW54*BW18/1000*0.7976</f>
        <v>0.287136</v>
      </c>
      <c r="BY54" s="118">
        <f>BW54*BW18/1000*(1-0.7976)</f>
        <v>7.2864000000000012E-2</v>
      </c>
      <c r="BZ54" s="116">
        <v>36</v>
      </c>
      <c r="CA54" s="117">
        <f>BZ54*BZ18/1000*0.7976</f>
        <v>0.287136</v>
      </c>
      <c r="CB54" s="118">
        <f>BZ54*BZ18/1000*(1-0.7976)</f>
        <v>7.2864000000000012E-2</v>
      </c>
    </row>
    <row r="55" spans="1:80" ht="54" customHeight="1" thickBot="1" x14ac:dyDescent="0.25">
      <c r="A55" s="1072"/>
      <c r="B55" s="1081"/>
      <c r="C55" s="49" t="s">
        <v>70</v>
      </c>
      <c r="D55" s="60" t="s">
        <v>71</v>
      </c>
      <c r="E55" s="47" t="s">
        <v>124</v>
      </c>
      <c r="F55" s="134" t="s">
        <v>124</v>
      </c>
      <c r="G55" s="134" t="s">
        <v>124</v>
      </c>
      <c r="H55" s="135" t="s">
        <v>124</v>
      </c>
      <c r="I55" s="119">
        <v>181</v>
      </c>
      <c r="J55" s="100">
        <f>I55*I18/1000*0.8897</f>
        <v>1.610357</v>
      </c>
      <c r="K55" s="101">
        <f>I55*I18/1000*(1-0.8897)</f>
        <v>0.19964299999999993</v>
      </c>
      <c r="L55" s="119">
        <v>190</v>
      </c>
      <c r="M55" s="100">
        <f>L55*L18/1000*0.8897</f>
        <v>1.6904300000000001</v>
      </c>
      <c r="N55" s="101">
        <f>L55*L18/1000*(1-0.8897)</f>
        <v>0.2095699999999999</v>
      </c>
      <c r="O55" s="119">
        <v>190</v>
      </c>
      <c r="P55" s="100">
        <f>O55*O18/1000*0.8897</f>
        <v>1.6904300000000001</v>
      </c>
      <c r="Q55" s="101">
        <f>O55*O18/1000*(1-0.8897)</f>
        <v>0.2095699999999999</v>
      </c>
      <c r="R55" s="119">
        <v>190</v>
      </c>
      <c r="S55" s="100">
        <f>R55*R18/1000*0.8897</f>
        <v>1.6904300000000001</v>
      </c>
      <c r="T55" s="101">
        <f>R55*R18/1000*(1-0.8897)</f>
        <v>0.2095699999999999</v>
      </c>
      <c r="U55" s="119">
        <v>190</v>
      </c>
      <c r="V55" s="100">
        <f>U55*U18/1000*0.8897</f>
        <v>1.6904300000000001</v>
      </c>
      <c r="W55" s="101">
        <f>U55*U18/1000*(1-0.8897)</f>
        <v>0.2095699999999999</v>
      </c>
      <c r="X55" s="119">
        <v>190</v>
      </c>
      <c r="Y55" s="100">
        <f>X55*X18/1000*0.8897</f>
        <v>1.6904300000000001</v>
      </c>
      <c r="Z55" s="101">
        <f>X55*X18/1000*(1-0.8897)</f>
        <v>0.2095699999999999</v>
      </c>
      <c r="AA55" s="119">
        <v>190</v>
      </c>
      <c r="AB55" s="100">
        <f>AA55*AA18/1000*0.8897</f>
        <v>1.6904300000000001</v>
      </c>
      <c r="AC55" s="101">
        <f>AA55*AA18/1000*(1-0.8897)</f>
        <v>0.2095699999999999</v>
      </c>
      <c r="AD55" s="119">
        <v>190</v>
      </c>
      <c r="AE55" s="100">
        <f>AD55*AD18/1000*0.8897</f>
        <v>1.6904300000000001</v>
      </c>
      <c r="AF55" s="101">
        <f>AD55*AD18/1000*(1-0.8897)</f>
        <v>0.2095699999999999</v>
      </c>
      <c r="AG55" s="119">
        <v>245</v>
      </c>
      <c r="AH55" s="100">
        <f>AG55*AG18/1000*0.8897</f>
        <v>2.1797650000000002</v>
      </c>
      <c r="AI55" s="101">
        <f>AG55*AG18/1000*(1-0.8897)</f>
        <v>0.27023499999999989</v>
      </c>
      <c r="AJ55" s="119">
        <v>245</v>
      </c>
      <c r="AK55" s="100">
        <f>AJ55*AJ18/1000*0.8897</f>
        <v>2.1797650000000002</v>
      </c>
      <c r="AL55" s="101">
        <f>AJ55*AJ18/1000*(1-0.8897)</f>
        <v>0.27023499999999989</v>
      </c>
      <c r="AM55" s="119">
        <v>245</v>
      </c>
      <c r="AN55" s="100">
        <f>AM55*AM18/1000*0.8897</f>
        <v>2.1797650000000002</v>
      </c>
      <c r="AO55" s="101">
        <f>AM55*AM18/1000*(1-0.8897)</f>
        <v>0.27023499999999989</v>
      </c>
      <c r="AP55" s="119">
        <v>245</v>
      </c>
      <c r="AQ55" s="100">
        <f>AP55*AP18/1000*0.8897</f>
        <v>2.1797650000000002</v>
      </c>
      <c r="AR55" s="101">
        <f>AP55*AP18/1000*(1-0.8897)</f>
        <v>0.27023499999999989</v>
      </c>
      <c r="AS55" s="119">
        <v>245</v>
      </c>
      <c r="AT55" s="100">
        <f>AS55*AS18/1000*0.8897</f>
        <v>2.1797650000000002</v>
      </c>
      <c r="AU55" s="101">
        <f>AS55*AS18/1000*(1-0.8897)</f>
        <v>0.27023499999999989</v>
      </c>
      <c r="AV55" s="119">
        <v>245</v>
      </c>
      <c r="AW55" s="100">
        <f>AV55*AV18/1000*0.8897</f>
        <v>2.1797650000000002</v>
      </c>
      <c r="AX55" s="101">
        <f>AV55*AV18/1000*(1-0.8897)</f>
        <v>0.27023499999999989</v>
      </c>
      <c r="AY55" s="119">
        <v>250</v>
      </c>
      <c r="AZ55" s="100">
        <f>AY55*AY18/1000*0.8897</f>
        <v>2.2242500000000001</v>
      </c>
      <c r="BA55" s="101">
        <f>AY55*AY18/1000*(1-0.8897)</f>
        <v>0.27574999999999988</v>
      </c>
      <c r="BB55" s="119">
        <v>250</v>
      </c>
      <c r="BC55" s="100">
        <f>BB55*BB18/1000*0.8897</f>
        <v>2.2242500000000001</v>
      </c>
      <c r="BD55" s="101">
        <f>BB55*BB18/1000*(1-0.8897)</f>
        <v>0.27574999999999988</v>
      </c>
      <c r="BE55" s="119">
        <v>250</v>
      </c>
      <c r="BF55" s="100">
        <f>BE55*BE18/1000*0.8897</f>
        <v>2.2242500000000001</v>
      </c>
      <c r="BG55" s="101">
        <f>BE55*BE18/1000*(1-0.8897)</f>
        <v>0.27574999999999988</v>
      </c>
      <c r="BH55" s="119">
        <v>250</v>
      </c>
      <c r="BI55" s="100">
        <f>BH55*BH18/1000*0.8897</f>
        <v>2.2242500000000001</v>
      </c>
      <c r="BJ55" s="101">
        <f>BH55*BH18/1000*(1-0.8897)</f>
        <v>0.27574999999999988</v>
      </c>
      <c r="BK55" s="119">
        <v>250</v>
      </c>
      <c r="BL55" s="100">
        <f>BK55*BK18/1000*0.8897</f>
        <v>2.2242500000000001</v>
      </c>
      <c r="BM55" s="101">
        <f>BK55*BK18/1000*(1-0.8897)</f>
        <v>0.27574999999999988</v>
      </c>
      <c r="BN55" s="119">
        <v>250</v>
      </c>
      <c r="BO55" s="100">
        <f>BN55*BN18/1000*0.8897</f>
        <v>2.2242500000000001</v>
      </c>
      <c r="BP55" s="101">
        <f>BN55*BN18/1000*(1-0.8897)</f>
        <v>0.27574999999999988</v>
      </c>
      <c r="BQ55" s="119">
        <v>250</v>
      </c>
      <c r="BR55" s="100">
        <f>BQ55*BQ18/1000*0.8897</f>
        <v>2.2242500000000001</v>
      </c>
      <c r="BS55" s="101">
        <f>BQ55*BQ18/1000*(1-0.8897)</f>
        <v>0.27574999999999988</v>
      </c>
      <c r="BT55" s="119">
        <v>250</v>
      </c>
      <c r="BU55" s="100">
        <f>BT55*BT18/1000*0.8897</f>
        <v>2.2242500000000001</v>
      </c>
      <c r="BV55" s="101">
        <f>BT55*BT18/1000*(1-0.8897)</f>
        <v>0.27574999999999988</v>
      </c>
      <c r="BW55" s="119">
        <v>185</v>
      </c>
      <c r="BX55" s="100">
        <f>BW55*BW18/1000*0.8897</f>
        <v>1.6459450000000002</v>
      </c>
      <c r="BY55" s="101">
        <f>BW55*BW18/1000*(1-0.8897)</f>
        <v>0.20405499999999993</v>
      </c>
      <c r="BZ55" s="119">
        <v>185</v>
      </c>
      <c r="CA55" s="100">
        <f>BZ55*BZ18/1000*0.8897</f>
        <v>1.6459450000000002</v>
      </c>
      <c r="CB55" s="101">
        <f>BZ55*BZ18/1000*(1-0.8897)</f>
        <v>0.20405499999999993</v>
      </c>
    </row>
    <row r="56" spans="1:80" ht="54" customHeight="1" thickBot="1" x14ac:dyDescent="0.25">
      <c r="A56" s="1072"/>
      <c r="B56" s="1116" t="s">
        <v>27</v>
      </c>
      <c r="C56" s="58" t="s">
        <v>72</v>
      </c>
      <c r="D56" s="59" t="s">
        <v>73</v>
      </c>
      <c r="E56" s="47" t="s">
        <v>124</v>
      </c>
      <c r="F56" s="134" t="s">
        <v>124</v>
      </c>
      <c r="G56" s="134" t="s">
        <v>124</v>
      </c>
      <c r="H56" s="135" t="s">
        <v>124</v>
      </c>
      <c r="I56" s="120">
        <v>0</v>
      </c>
      <c r="J56" s="121">
        <v>0</v>
      </c>
      <c r="K56" s="122">
        <v>0</v>
      </c>
      <c r="L56" s="120">
        <v>0</v>
      </c>
      <c r="M56" s="121">
        <v>0</v>
      </c>
      <c r="N56" s="122">
        <v>0</v>
      </c>
      <c r="O56" s="120">
        <v>0</v>
      </c>
      <c r="P56" s="121">
        <v>0</v>
      </c>
      <c r="Q56" s="122">
        <v>0</v>
      </c>
      <c r="R56" s="120">
        <v>0</v>
      </c>
      <c r="S56" s="121">
        <v>0</v>
      </c>
      <c r="T56" s="122">
        <v>0</v>
      </c>
      <c r="U56" s="120">
        <v>0</v>
      </c>
      <c r="V56" s="121">
        <v>0</v>
      </c>
      <c r="W56" s="122">
        <v>0</v>
      </c>
      <c r="X56" s="120">
        <v>0</v>
      </c>
      <c r="Y56" s="121">
        <v>0</v>
      </c>
      <c r="Z56" s="122">
        <v>0</v>
      </c>
      <c r="AA56" s="120">
        <v>0</v>
      </c>
      <c r="AB56" s="121">
        <v>0</v>
      </c>
      <c r="AC56" s="122">
        <v>0</v>
      </c>
      <c r="AD56" s="120">
        <v>0</v>
      </c>
      <c r="AE56" s="121">
        <v>0</v>
      </c>
      <c r="AF56" s="122">
        <v>0</v>
      </c>
      <c r="AG56" s="120">
        <v>0</v>
      </c>
      <c r="AH56" s="121">
        <v>0</v>
      </c>
      <c r="AI56" s="122">
        <v>0</v>
      </c>
      <c r="AJ56" s="120">
        <v>0</v>
      </c>
      <c r="AK56" s="121">
        <v>0</v>
      </c>
      <c r="AL56" s="122">
        <v>0</v>
      </c>
      <c r="AM56" s="120">
        <v>0</v>
      </c>
      <c r="AN56" s="121">
        <v>0</v>
      </c>
      <c r="AO56" s="122">
        <v>0</v>
      </c>
      <c r="AP56" s="120">
        <v>0</v>
      </c>
      <c r="AQ56" s="121">
        <v>0</v>
      </c>
      <c r="AR56" s="122">
        <v>0</v>
      </c>
      <c r="AS56" s="120">
        <v>0</v>
      </c>
      <c r="AT56" s="121">
        <v>0</v>
      </c>
      <c r="AU56" s="122">
        <v>0</v>
      </c>
      <c r="AV56" s="120">
        <v>0</v>
      </c>
      <c r="AW56" s="121">
        <v>0</v>
      </c>
      <c r="AX56" s="122">
        <v>0</v>
      </c>
      <c r="AY56" s="120">
        <v>0</v>
      </c>
      <c r="AZ56" s="121">
        <v>0</v>
      </c>
      <c r="BA56" s="122">
        <v>0</v>
      </c>
      <c r="BB56" s="120">
        <v>0</v>
      </c>
      <c r="BC56" s="121">
        <v>0</v>
      </c>
      <c r="BD56" s="122">
        <v>0</v>
      </c>
      <c r="BE56" s="120">
        <v>0</v>
      </c>
      <c r="BF56" s="121">
        <v>0</v>
      </c>
      <c r="BG56" s="122">
        <v>0</v>
      </c>
      <c r="BH56" s="120">
        <v>0</v>
      </c>
      <c r="BI56" s="121">
        <v>0</v>
      </c>
      <c r="BJ56" s="122">
        <v>0</v>
      </c>
      <c r="BK56" s="120">
        <v>0</v>
      </c>
      <c r="BL56" s="121">
        <v>0</v>
      </c>
      <c r="BM56" s="122">
        <v>0</v>
      </c>
      <c r="BN56" s="120">
        <v>0</v>
      </c>
      <c r="BO56" s="121">
        <v>0</v>
      </c>
      <c r="BP56" s="122">
        <v>0</v>
      </c>
      <c r="BQ56" s="120">
        <v>0</v>
      </c>
      <c r="BR56" s="121">
        <v>0</v>
      </c>
      <c r="BS56" s="122">
        <v>0</v>
      </c>
      <c r="BT56" s="120">
        <v>0</v>
      </c>
      <c r="BU56" s="121">
        <v>0</v>
      </c>
      <c r="BV56" s="122">
        <v>0</v>
      </c>
      <c r="BW56" s="120">
        <v>0</v>
      </c>
      <c r="BX56" s="121">
        <v>0</v>
      </c>
      <c r="BY56" s="122">
        <v>0</v>
      </c>
      <c r="BZ56" s="120">
        <v>0</v>
      </c>
      <c r="CA56" s="121">
        <v>0</v>
      </c>
      <c r="CB56" s="122">
        <v>0</v>
      </c>
    </row>
    <row r="57" spans="1:80" ht="54" customHeight="1" thickBot="1" x14ac:dyDescent="0.25">
      <c r="A57" s="1072"/>
      <c r="B57" s="1117"/>
      <c r="C57" s="56" t="s">
        <v>74</v>
      </c>
      <c r="D57" s="59" t="s">
        <v>75</v>
      </c>
      <c r="E57" s="47" t="s">
        <v>124</v>
      </c>
      <c r="F57" s="134" t="s">
        <v>124</v>
      </c>
      <c r="G57" s="134" t="s">
        <v>124</v>
      </c>
      <c r="H57" s="135" t="s">
        <v>124</v>
      </c>
      <c r="I57" s="123">
        <v>0</v>
      </c>
      <c r="J57" s="124">
        <v>0</v>
      </c>
      <c r="K57" s="125">
        <v>0</v>
      </c>
      <c r="L57" s="123">
        <v>0</v>
      </c>
      <c r="M57" s="124">
        <v>0</v>
      </c>
      <c r="N57" s="125">
        <v>0</v>
      </c>
      <c r="O57" s="123">
        <v>0</v>
      </c>
      <c r="P57" s="124">
        <v>0</v>
      </c>
      <c r="Q57" s="125">
        <v>0</v>
      </c>
      <c r="R57" s="123">
        <v>0</v>
      </c>
      <c r="S57" s="124">
        <v>0</v>
      </c>
      <c r="T57" s="125">
        <v>0</v>
      </c>
      <c r="U57" s="123">
        <v>0</v>
      </c>
      <c r="V57" s="124">
        <v>0</v>
      </c>
      <c r="W57" s="125">
        <v>0</v>
      </c>
      <c r="X57" s="123">
        <v>0</v>
      </c>
      <c r="Y57" s="124">
        <v>0</v>
      </c>
      <c r="Z57" s="125">
        <v>0</v>
      </c>
      <c r="AA57" s="123">
        <v>0</v>
      </c>
      <c r="AB57" s="124">
        <v>0</v>
      </c>
      <c r="AC57" s="125">
        <v>0</v>
      </c>
      <c r="AD57" s="123">
        <v>0</v>
      </c>
      <c r="AE57" s="124">
        <v>0</v>
      </c>
      <c r="AF57" s="125">
        <v>0</v>
      </c>
      <c r="AG57" s="123">
        <v>0</v>
      </c>
      <c r="AH57" s="124">
        <v>0</v>
      </c>
      <c r="AI57" s="125">
        <v>0</v>
      </c>
      <c r="AJ57" s="123">
        <v>0</v>
      </c>
      <c r="AK57" s="124">
        <v>0</v>
      </c>
      <c r="AL57" s="125">
        <v>0</v>
      </c>
      <c r="AM57" s="123">
        <v>0</v>
      </c>
      <c r="AN57" s="124">
        <v>0</v>
      </c>
      <c r="AO57" s="125">
        <v>0</v>
      </c>
      <c r="AP57" s="123">
        <v>0</v>
      </c>
      <c r="AQ57" s="124">
        <v>0</v>
      </c>
      <c r="AR57" s="125">
        <v>0</v>
      </c>
      <c r="AS57" s="123">
        <v>0</v>
      </c>
      <c r="AT57" s="124">
        <v>0</v>
      </c>
      <c r="AU57" s="125">
        <v>0</v>
      </c>
      <c r="AV57" s="123">
        <v>0</v>
      </c>
      <c r="AW57" s="124">
        <v>0</v>
      </c>
      <c r="AX57" s="125">
        <v>0</v>
      </c>
      <c r="AY57" s="123">
        <v>0</v>
      </c>
      <c r="AZ57" s="124">
        <v>0</v>
      </c>
      <c r="BA57" s="125">
        <v>0</v>
      </c>
      <c r="BB57" s="123">
        <v>0</v>
      </c>
      <c r="BC57" s="124">
        <v>0</v>
      </c>
      <c r="BD57" s="125">
        <v>0</v>
      </c>
      <c r="BE57" s="123">
        <v>0</v>
      </c>
      <c r="BF57" s="124">
        <v>0</v>
      </c>
      <c r="BG57" s="125">
        <v>0</v>
      </c>
      <c r="BH57" s="123">
        <v>0</v>
      </c>
      <c r="BI57" s="124">
        <v>0</v>
      </c>
      <c r="BJ57" s="125">
        <v>0</v>
      </c>
      <c r="BK57" s="123">
        <v>0</v>
      </c>
      <c r="BL57" s="124">
        <v>0</v>
      </c>
      <c r="BM57" s="125">
        <v>0</v>
      </c>
      <c r="BN57" s="123">
        <v>0</v>
      </c>
      <c r="BO57" s="124">
        <v>0</v>
      </c>
      <c r="BP57" s="125">
        <v>0</v>
      </c>
      <c r="BQ57" s="123">
        <v>0</v>
      </c>
      <c r="BR57" s="124">
        <v>0</v>
      </c>
      <c r="BS57" s="125">
        <v>0</v>
      </c>
      <c r="BT57" s="123">
        <v>0</v>
      </c>
      <c r="BU57" s="124">
        <v>0</v>
      </c>
      <c r="BV57" s="125">
        <v>0</v>
      </c>
      <c r="BW57" s="123">
        <v>0</v>
      </c>
      <c r="BX57" s="124">
        <v>0</v>
      </c>
      <c r="BY57" s="125">
        <v>0</v>
      </c>
      <c r="BZ57" s="123">
        <v>0</v>
      </c>
      <c r="CA57" s="124">
        <v>0</v>
      </c>
      <c r="CB57" s="125">
        <v>0</v>
      </c>
    </row>
    <row r="58" spans="1:80" ht="54" customHeight="1" thickBot="1" x14ac:dyDescent="0.25">
      <c r="A58" s="1072"/>
      <c r="B58" s="1117"/>
      <c r="C58" s="58" t="s">
        <v>76</v>
      </c>
      <c r="D58" s="59" t="s">
        <v>77</v>
      </c>
      <c r="E58" s="47" t="s">
        <v>124</v>
      </c>
      <c r="F58" s="134" t="s">
        <v>124</v>
      </c>
      <c r="G58" s="134" t="s">
        <v>124</v>
      </c>
      <c r="H58" s="135" t="s">
        <v>124</v>
      </c>
      <c r="I58" s="123">
        <v>0</v>
      </c>
      <c r="J58" s="124">
        <v>0</v>
      </c>
      <c r="K58" s="125">
        <v>0</v>
      </c>
      <c r="L58" s="123">
        <v>0</v>
      </c>
      <c r="M58" s="124">
        <v>0</v>
      </c>
      <c r="N58" s="125">
        <v>0</v>
      </c>
      <c r="O58" s="123">
        <v>0</v>
      </c>
      <c r="P58" s="124">
        <v>0</v>
      </c>
      <c r="Q58" s="125">
        <v>0</v>
      </c>
      <c r="R58" s="123">
        <v>0</v>
      </c>
      <c r="S58" s="124">
        <v>0</v>
      </c>
      <c r="T58" s="125">
        <v>0</v>
      </c>
      <c r="U58" s="123">
        <v>0</v>
      </c>
      <c r="V58" s="124">
        <v>0</v>
      </c>
      <c r="W58" s="125">
        <v>0</v>
      </c>
      <c r="X58" s="123">
        <v>0</v>
      </c>
      <c r="Y58" s="124">
        <v>0</v>
      </c>
      <c r="Z58" s="125">
        <v>0</v>
      </c>
      <c r="AA58" s="123">
        <v>0</v>
      </c>
      <c r="AB58" s="124">
        <v>0</v>
      </c>
      <c r="AC58" s="125">
        <v>0</v>
      </c>
      <c r="AD58" s="123">
        <v>0</v>
      </c>
      <c r="AE58" s="124">
        <v>0</v>
      </c>
      <c r="AF58" s="125">
        <v>0</v>
      </c>
      <c r="AG58" s="123">
        <v>0</v>
      </c>
      <c r="AH58" s="124">
        <v>0</v>
      </c>
      <c r="AI58" s="125">
        <v>0</v>
      </c>
      <c r="AJ58" s="123">
        <v>0</v>
      </c>
      <c r="AK58" s="124">
        <v>0</v>
      </c>
      <c r="AL58" s="125">
        <v>0</v>
      </c>
      <c r="AM58" s="123">
        <v>0</v>
      </c>
      <c r="AN58" s="124">
        <v>0</v>
      </c>
      <c r="AO58" s="125">
        <v>0</v>
      </c>
      <c r="AP58" s="123">
        <v>0</v>
      </c>
      <c r="AQ58" s="124">
        <v>0</v>
      </c>
      <c r="AR58" s="125">
        <v>0</v>
      </c>
      <c r="AS58" s="123">
        <v>0</v>
      </c>
      <c r="AT58" s="124">
        <v>0</v>
      </c>
      <c r="AU58" s="125">
        <v>0</v>
      </c>
      <c r="AV58" s="123">
        <v>0</v>
      </c>
      <c r="AW58" s="124">
        <v>0</v>
      </c>
      <c r="AX58" s="125">
        <v>0</v>
      </c>
      <c r="AY58" s="123">
        <v>0</v>
      </c>
      <c r="AZ58" s="124">
        <v>0</v>
      </c>
      <c r="BA58" s="125">
        <v>0</v>
      </c>
      <c r="BB58" s="123">
        <v>0</v>
      </c>
      <c r="BC58" s="124">
        <v>0</v>
      </c>
      <c r="BD58" s="125">
        <v>0</v>
      </c>
      <c r="BE58" s="123">
        <v>0</v>
      </c>
      <c r="BF58" s="124">
        <v>0</v>
      </c>
      <c r="BG58" s="125">
        <v>0</v>
      </c>
      <c r="BH58" s="123">
        <v>0</v>
      </c>
      <c r="BI58" s="124">
        <v>0</v>
      </c>
      <c r="BJ58" s="125">
        <v>0</v>
      </c>
      <c r="BK58" s="123">
        <v>0</v>
      </c>
      <c r="BL58" s="124">
        <v>0</v>
      </c>
      <c r="BM58" s="125">
        <v>0</v>
      </c>
      <c r="BN58" s="123">
        <v>0</v>
      </c>
      <c r="BO58" s="124">
        <v>0</v>
      </c>
      <c r="BP58" s="125">
        <v>0</v>
      </c>
      <c r="BQ58" s="123">
        <v>0</v>
      </c>
      <c r="BR58" s="124">
        <v>0</v>
      </c>
      <c r="BS58" s="125">
        <v>0</v>
      </c>
      <c r="BT58" s="123">
        <v>0</v>
      </c>
      <c r="BU58" s="124">
        <v>0</v>
      </c>
      <c r="BV58" s="125">
        <v>0</v>
      </c>
      <c r="BW58" s="123">
        <v>0</v>
      </c>
      <c r="BX58" s="124">
        <v>0</v>
      </c>
      <c r="BY58" s="125">
        <v>0</v>
      </c>
      <c r="BZ58" s="123">
        <v>0</v>
      </c>
      <c r="CA58" s="124">
        <v>0</v>
      </c>
      <c r="CB58" s="125">
        <v>0</v>
      </c>
    </row>
    <row r="59" spans="1:80" ht="54" customHeight="1" thickBot="1" x14ac:dyDescent="0.25">
      <c r="A59" s="1072"/>
      <c r="B59" s="1117"/>
      <c r="C59" s="58" t="s">
        <v>78</v>
      </c>
      <c r="D59" s="59" t="s">
        <v>79</v>
      </c>
      <c r="E59" s="47" t="s">
        <v>124</v>
      </c>
      <c r="F59" s="134" t="s">
        <v>124</v>
      </c>
      <c r="G59" s="134" t="s">
        <v>124</v>
      </c>
      <c r="H59" s="135" t="s">
        <v>124</v>
      </c>
      <c r="I59" s="126">
        <v>0</v>
      </c>
      <c r="J59" s="127">
        <v>0</v>
      </c>
      <c r="K59" s="128">
        <v>0</v>
      </c>
      <c r="L59" s="126">
        <v>0</v>
      </c>
      <c r="M59" s="127">
        <v>0</v>
      </c>
      <c r="N59" s="128">
        <v>0</v>
      </c>
      <c r="O59" s="126">
        <v>0</v>
      </c>
      <c r="P59" s="127">
        <v>0</v>
      </c>
      <c r="Q59" s="128">
        <v>0</v>
      </c>
      <c r="R59" s="126">
        <v>0</v>
      </c>
      <c r="S59" s="127">
        <v>0</v>
      </c>
      <c r="T59" s="128">
        <v>0</v>
      </c>
      <c r="U59" s="126">
        <v>0</v>
      </c>
      <c r="V59" s="127">
        <v>0</v>
      </c>
      <c r="W59" s="128">
        <v>0</v>
      </c>
      <c r="X59" s="126">
        <v>0</v>
      </c>
      <c r="Y59" s="127">
        <v>0</v>
      </c>
      <c r="Z59" s="128">
        <v>0</v>
      </c>
      <c r="AA59" s="126">
        <v>0</v>
      </c>
      <c r="AB59" s="127">
        <v>0</v>
      </c>
      <c r="AC59" s="128">
        <v>0</v>
      </c>
      <c r="AD59" s="126">
        <v>0</v>
      </c>
      <c r="AE59" s="127">
        <v>0</v>
      </c>
      <c r="AF59" s="128">
        <v>0</v>
      </c>
      <c r="AG59" s="126">
        <v>0</v>
      </c>
      <c r="AH59" s="127">
        <v>0</v>
      </c>
      <c r="AI59" s="128">
        <v>0</v>
      </c>
      <c r="AJ59" s="126">
        <v>0</v>
      </c>
      <c r="AK59" s="127">
        <v>0</v>
      </c>
      <c r="AL59" s="128">
        <v>0</v>
      </c>
      <c r="AM59" s="126">
        <v>0</v>
      </c>
      <c r="AN59" s="127">
        <v>0</v>
      </c>
      <c r="AO59" s="128">
        <v>0</v>
      </c>
      <c r="AP59" s="126">
        <v>0</v>
      </c>
      <c r="AQ59" s="127">
        <v>0</v>
      </c>
      <c r="AR59" s="128">
        <v>0</v>
      </c>
      <c r="AS59" s="126">
        <v>0</v>
      </c>
      <c r="AT59" s="127">
        <v>0</v>
      </c>
      <c r="AU59" s="128">
        <v>0</v>
      </c>
      <c r="AV59" s="126">
        <v>0</v>
      </c>
      <c r="AW59" s="127">
        <v>0</v>
      </c>
      <c r="AX59" s="128">
        <v>0</v>
      </c>
      <c r="AY59" s="126">
        <v>0</v>
      </c>
      <c r="AZ59" s="127">
        <v>0</v>
      </c>
      <c r="BA59" s="128">
        <v>0</v>
      </c>
      <c r="BB59" s="126">
        <v>0</v>
      </c>
      <c r="BC59" s="127">
        <v>0</v>
      </c>
      <c r="BD59" s="128">
        <v>0</v>
      </c>
      <c r="BE59" s="126">
        <v>0</v>
      </c>
      <c r="BF59" s="127">
        <v>0</v>
      </c>
      <c r="BG59" s="128">
        <v>0</v>
      </c>
      <c r="BH59" s="126">
        <v>0</v>
      </c>
      <c r="BI59" s="127">
        <v>0</v>
      </c>
      <c r="BJ59" s="128">
        <v>0</v>
      </c>
      <c r="BK59" s="126">
        <v>0</v>
      </c>
      <c r="BL59" s="127">
        <v>0</v>
      </c>
      <c r="BM59" s="128">
        <v>0</v>
      </c>
      <c r="BN59" s="126">
        <v>0</v>
      </c>
      <c r="BO59" s="127">
        <v>0</v>
      </c>
      <c r="BP59" s="128">
        <v>0</v>
      </c>
      <c r="BQ59" s="126">
        <v>0</v>
      </c>
      <c r="BR59" s="127">
        <v>0</v>
      </c>
      <c r="BS59" s="128">
        <v>0</v>
      </c>
      <c r="BT59" s="126">
        <v>0</v>
      </c>
      <c r="BU59" s="127">
        <v>0</v>
      </c>
      <c r="BV59" s="128">
        <v>0</v>
      </c>
      <c r="BW59" s="126">
        <v>0</v>
      </c>
      <c r="BX59" s="127">
        <v>0</v>
      </c>
      <c r="BY59" s="128">
        <v>0</v>
      </c>
      <c r="BZ59" s="126">
        <v>0</v>
      </c>
      <c r="CA59" s="127">
        <v>0</v>
      </c>
      <c r="CB59" s="128">
        <v>0</v>
      </c>
    </row>
    <row r="60" spans="1:80" ht="54" customHeight="1" thickBot="1" x14ac:dyDescent="0.25">
      <c r="A60" s="1072"/>
      <c r="B60" s="1117"/>
      <c r="C60" s="58" t="s">
        <v>82</v>
      </c>
      <c r="D60" s="57" t="s">
        <v>80</v>
      </c>
      <c r="E60" s="47" t="s">
        <v>124</v>
      </c>
      <c r="F60" s="134" t="s">
        <v>124</v>
      </c>
      <c r="G60" s="134" t="s">
        <v>124</v>
      </c>
      <c r="H60" s="135" t="s">
        <v>124</v>
      </c>
      <c r="I60" s="120">
        <v>168</v>
      </c>
      <c r="J60" s="121">
        <f>I60*I24/1000*0.9206</f>
        <v>1.60847232</v>
      </c>
      <c r="K60" s="122">
        <f>I60*I24/1000*(1-0.9206)</f>
        <v>0.13872768000000005</v>
      </c>
      <c r="L60" s="120">
        <v>170</v>
      </c>
      <c r="M60" s="121">
        <f>L60*L24/1000*0.9206</f>
        <v>1.6276207999999999</v>
      </c>
      <c r="N60" s="122">
        <f>L60*L24/1000*(1-0.9206)</f>
        <v>0.14037920000000004</v>
      </c>
      <c r="O60" s="120">
        <v>170</v>
      </c>
      <c r="P60" s="121">
        <f>O60*O24/1000*0.9206</f>
        <v>1.6276207999999999</v>
      </c>
      <c r="Q60" s="122">
        <f>O60*O24/1000*(1-0.9206)</f>
        <v>0.14037920000000004</v>
      </c>
      <c r="R60" s="120">
        <v>170</v>
      </c>
      <c r="S60" s="121">
        <f>R60*R24/1000*0.9206</f>
        <v>1.6276207999999999</v>
      </c>
      <c r="T60" s="122">
        <f>R60*R24/1000*(1-0.9206)</f>
        <v>0.14037920000000004</v>
      </c>
      <c r="U60" s="120">
        <v>170</v>
      </c>
      <c r="V60" s="121">
        <f>U60*U24/1000*0.9206</f>
        <v>1.6276207999999999</v>
      </c>
      <c r="W60" s="122">
        <f>U60*U24/1000*(1-0.9206)</f>
        <v>0.14037920000000004</v>
      </c>
      <c r="X60" s="120">
        <v>170</v>
      </c>
      <c r="Y60" s="121">
        <f>X60*X24/1000*0.9206</f>
        <v>1.6276207999999999</v>
      </c>
      <c r="Z60" s="122">
        <f>X60*X24/1000*(1-0.9206)</f>
        <v>0.14037920000000004</v>
      </c>
      <c r="AA60" s="120">
        <v>170</v>
      </c>
      <c r="AB60" s="121">
        <f>AA60*AA24/1000*0.9206</f>
        <v>1.6276207999999999</v>
      </c>
      <c r="AC60" s="122">
        <f>AA60*AA24/1000*(1-0.9206)</f>
        <v>0.14037920000000004</v>
      </c>
      <c r="AD60" s="120">
        <v>170</v>
      </c>
      <c r="AE60" s="121">
        <f>AD60*AD24/1000*0.9206</f>
        <v>1.6276207999999999</v>
      </c>
      <c r="AF60" s="122">
        <f>AD60*AD24/1000*(1-0.9206)</f>
        <v>0.14037920000000004</v>
      </c>
      <c r="AG60" s="120">
        <v>197</v>
      </c>
      <c r="AH60" s="121">
        <f>AG60*AG24/1000*0.9206</f>
        <v>1.8861252800000003</v>
      </c>
      <c r="AI60" s="122">
        <f>AG60*AG24/1000*(1-0.9206)</f>
        <v>0.16267472000000008</v>
      </c>
      <c r="AJ60" s="120">
        <v>197</v>
      </c>
      <c r="AK60" s="121">
        <f>AJ60*AJ24/1000*0.9206</f>
        <v>1.8861252800000003</v>
      </c>
      <c r="AL60" s="122">
        <f>AJ60*AJ24/1000*(1-0.9206)</f>
        <v>0.16267472000000008</v>
      </c>
      <c r="AM60" s="120">
        <v>197</v>
      </c>
      <c r="AN60" s="121">
        <f>AM60*AM24/1000*0.9206</f>
        <v>1.8861252800000003</v>
      </c>
      <c r="AO60" s="122">
        <f>AM60*AM24/1000*(1-0.9206)</f>
        <v>0.16267472000000008</v>
      </c>
      <c r="AP60" s="120">
        <v>197</v>
      </c>
      <c r="AQ60" s="121">
        <f>AP60*AP24/1000*0.9206</f>
        <v>1.8861252800000003</v>
      </c>
      <c r="AR60" s="122">
        <f>AP60*AP24/1000*(1-0.9206)</f>
        <v>0.16267472000000008</v>
      </c>
      <c r="AS60" s="120">
        <v>197</v>
      </c>
      <c r="AT60" s="121">
        <f>AS60*AS24/1000*0.9206</f>
        <v>1.8861252800000003</v>
      </c>
      <c r="AU60" s="122">
        <f>AS60*AS24/1000*(1-0.9206)</f>
        <v>0.16267472000000008</v>
      </c>
      <c r="AV60" s="120">
        <v>197</v>
      </c>
      <c r="AW60" s="121">
        <f>AV60*AV24/1000*0.9206</f>
        <v>1.8861252800000003</v>
      </c>
      <c r="AX60" s="122">
        <f>AV60*AV24/1000*(1-0.9206)</f>
        <v>0.16267472000000008</v>
      </c>
      <c r="AY60" s="120">
        <v>215</v>
      </c>
      <c r="AZ60" s="121">
        <f>AY60*AY24/1000*0.9206</f>
        <v>2.0584616000000002</v>
      </c>
      <c r="BA60" s="122">
        <f>AY60*AY24/1000*(1-0.9206)</f>
        <v>0.17753840000000007</v>
      </c>
      <c r="BB60" s="120">
        <v>215</v>
      </c>
      <c r="BC60" s="121">
        <f>BB60*BB24/1000*0.9206</f>
        <v>2.0584616000000002</v>
      </c>
      <c r="BD60" s="122">
        <f>BB60*BB24/1000*(1-0.9206)</f>
        <v>0.17753840000000007</v>
      </c>
      <c r="BE60" s="120">
        <v>215</v>
      </c>
      <c r="BF60" s="121">
        <f>BE60*BE24/1000*0.9206</f>
        <v>2.0584616000000002</v>
      </c>
      <c r="BG60" s="122">
        <f>BE60*BE24/1000*(1-0.9206)</f>
        <v>0.17753840000000007</v>
      </c>
      <c r="BH60" s="120">
        <v>215</v>
      </c>
      <c r="BI60" s="121">
        <f>BH60*BH24/1000*0.9206</f>
        <v>2.0584616000000002</v>
      </c>
      <c r="BJ60" s="122">
        <f>BH60*BH24/1000*(1-0.9206)</f>
        <v>0.17753840000000007</v>
      </c>
      <c r="BK60" s="120">
        <v>215</v>
      </c>
      <c r="BL60" s="121">
        <f>BK60*BK24/1000*0.9206</f>
        <v>2.0584616000000002</v>
      </c>
      <c r="BM60" s="122">
        <f>BK60*BK24/1000*(1-0.9206)</f>
        <v>0.17753840000000007</v>
      </c>
      <c r="BN60" s="120">
        <v>210</v>
      </c>
      <c r="BO60" s="121">
        <f>BN60*BN24/1000*0.9206</f>
        <v>2.0105903999999999</v>
      </c>
      <c r="BP60" s="122">
        <f>BN60*BN24/1000*(1-0.9206)</f>
        <v>0.17340960000000008</v>
      </c>
      <c r="BQ60" s="120">
        <v>210</v>
      </c>
      <c r="BR60" s="121">
        <f>BQ60*BQ24/1000*0.9206</f>
        <v>2.0105903999999999</v>
      </c>
      <c r="BS60" s="122">
        <f>BQ60*BQ24/1000*(1-0.9206)</f>
        <v>0.17340960000000008</v>
      </c>
      <c r="BT60" s="120">
        <v>210</v>
      </c>
      <c r="BU60" s="121">
        <f>BT60*BT24/1000*0.9206</f>
        <v>2.0105903999999999</v>
      </c>
      <c r="BV60" s="122">
        <f>BT60*BT24/1000*(1-0.9206)</f>
        <v>0.17340960000000008</v>
      </c>
      <c r="BW60" s="120">
        <v>170</v>
      </c>
      <c r="BX60" s="121">
        <f>BW60*BW24/1000*0.9206</f>
        <v>1.6276207999999999</v>
      </c>
      <c r="BY60" s="122">
        <f>BW60*BW24/1000*(1-0.9206)</f>
        <v>0.14037920000000004</v>
      </c>
      <c r="BZ60" s="120">
        <v>170</v>
      </c>
      <c r="CA60" s="121">
        <f>BZ60*BZ24/1000*0.9206</f>
        <v>1.6276207999999999</v>
      </c>
      <c r="CB60" s="122">
        <f>BZ60*BZ24/1000*(1-0.9206)</f>
        <v>0.14037920000000004</v>
      </c>
    </row>
    <row r="61" spans="1:80" ht="54" customHeight="1" thickBot="1" x14ac:dyDescent="0.25">
      <c r="A61" s="1072"/>
      <c r="B61" s="1117"/>
      <c r="C61" s="56" t="s">
        <v>81</v>
      </c>
      <c r="D61" s="59" t="s">
        <v>83</v>
      </c>
      <c r="E61" s="47" t="s">
        <v>124</v>
      </c>
      <c r="F61" s="134" t="s">
        <v>124</v>
      </c>
      <c r="G61" s="134" t="s">
        <v>124</v>
      </c>
      <c r="H61" s="135" t="s">
        <v>124</v>
      </c>
      <c r="I61" s="123">
        <v>0</v>
      </c>
      <c r="J61" s="124">
        <v>0</v>
      </c>
      <c r="K61" s="125">
        <v>0</v>
      </c>
      <c r="L61" s="123">
        <v>0</v>
      </c>
      <c r="M61" s="124">
        <v>0</v>
      </c>
      <c r="N61" s="125">
        <v>0</v>
      </c>
      <c r="O61" s="123">
        <v>0</v>
      </c>
      <c r="P61" s="124">
        <v>0</v>
      </c>
      <c r="Q61" s="125">
        <v>0</v>
      </c>
      <c r="R61" s="123">
        <v>0</v>
      </c>
      <c r="S61" s="124">
        <v>0</v>
      </c>
      <c r="T61" s="125">
        <v>0</v>
      </c>
      <c r="U61" s="123">
        <v>0</v>
      </c>
      <c r="V61" s="124">
        <v>0</v>
      </c>
      <c r="W61" s="125">
        <v>0</v>
      </c>
      <c r="X61" s="123">
        <v>0</v>
      </c>
      <c r="Y61" s="124">
        <v>0</v>
      </c>
      <c r="Z61" s="125">
        <v>0</v>
      </c>
      <c r="AA61" s="123">
        <v>0</v>
      </c>
      <c r="AB61" s="124">
        <v>0</v>
      </c>
      <c r="AC61" s="125">
        <v>0</v>
      </c>
      <c r="AD61" s="123">
        <v>0</v>
      </c>
      <c r="AE61" s="124">
        <v>0</v>
      </c>
      <c r="AF61" s="125">
        <v>0</v>
      </c>
      <c r="AG61" s="123">
        <v>0</v>
      </c>
      <c r="AH61" s="124">
        <v>0</v>
      </c>
      <c r="AI61" s="125">
        <v>0</v>
      </c>
      <c r="AJ61" s="123">
        <v>0</v>
      </c>
      <c r="AK61" s="124">
        <v>0</v>
      </c>
      <c r="AL61" s="125">
        <v>0</v>
      </c>
      <c r="AM61" s="123">
        <v>0</v>
      </c>
      <c r="AN61" s="124">
        <v>0</v>
      </c>
      <c r="AO61" s="125">
        <v>0</v>
      </c>
      <c r="AP61" s="123">
        <v>0</v>
      </c>
      <c r="AQ61" s="124">
        <v>0</v>
      </c>
      <c r="AR61" s="125">
        <v>0</v>
      </c>
      <c r="AS61" s="123">
        <v>0</v>
      </c>
      <c r="AT61" s="124">
        <v>0</v>
      </c>
      <c r="AU61" s="125">
        <v>0</v>
      </c>
      <c r="AV61" s="123">
        <v>0</v>
      </c>
      <c r="AW61" s="124">
        <v>0</v>
      </c>
      <c r="AX61" s="125">
        <v>0</v>
      </c>
      <c r="AY61" s="123">
        <v>0</v>
      </c>
      <c r="AZ61" s="124">
        <v>0</v>
      </c>
      <c r="BA61" s="125">
        <v>0</v>
      </c>
      <c r="BB61" s="123">
        <v>0</v>
      </c>
      <c r="BC61" s="124">
        <v>0</v>
      </c>
      <c r="BD61" s="125">
        <v>0</v>
      </c>
      <c r="BE61" s="123">
        <v>0</v>
      </c>
      <c r="BF61" s="124">
        <v>0</v>
      </c>
      <c r="BG61" s="125">
        <v>0</v>
      </c>
      <c r="BH61" s="123">
        <v>0</v>
      </c>
      <c r="BI61" s="124">
        <v>0</v>
      </c>
      <c r="BJ61" s="125">
        <v>0</v>
      </c>
      <c r="BK61" s="123">
        <v>0</v>
      </c>
      <c r="BL61" s="124">
        <v>0</v>
      </c>
      <c r="BM61" s="125">
        <v>0</v>
      </c>
      <c r="BN61" s="123">
        <v>0</v>
      </c>
      <c r="BO61" s="124">
        <v>0</v>
      </c>
      <c r="BP61" s="125">
        <v>0</v>
      </c>
      <c r="BQ61" s="123">
        <v>0</v>
      </c>
      <c r="BR61" s="124">
        <v>0</v>
      </c>
      <c r="BS61" s="125">
        <v>0</v>
      </c>
      <c r="BT61" s="123">
        <v>0</v>
      </c>
      <c r="BU61" s="124">
        <v>0</v>
      </c>
      <c r="BV61" s="125">
        <v>0</v>
      </c>
      <c r="BW61" s="123">
        <v>0</v>
      </c>
      <c r="BX61" s="124">
        <v>0</v>
      </c>
      <c r="BY61" s="125">
        <v>0</v>
      </c>
      <c r="BZ61" s="123">
        <v>0</v>
      </c>
      <c r="CA61" s="124">
        <v>0</v>
      </c>
      <c r="CB61" s="125">
        <v>0</v>
      </c>
    </row>
    <row r="62" spans="1:80" ht="54" customHeight="1" thickBot="1" x14ac:dyDescent="0.25">
      <c r="A62" s="1072"/>
      <c r="B62" s="1117"/>
      <c r="C62" s="56" t="s">
        <v>84</v>
      </c>
      <c r="D62" s="57" t="s">
        <v>85</v>
      </c>
      <c r="E62" s="47" t="s">
        <v>124</v>
      </c>
      <c r="F62" s="134" t="s">
        <v>124</v>
      </c>
      <c r="G62" s="134" t="s">
        <v>124</v>
      </c>
      <c r="H62" s="135" t="s">
        <v>124</v>
      </c>
      <c r="I62" s="123">
        <v>17</v>
      </c>
      <c r="J62" s="124">
        <f>I62*I24/1000*0.8684</f>
        <v>0.15353312</v>
      </c>
      <c r="K62" s="125">
        <f>I62*I24/1000*(1-0.8684)</f>
        <v>2.3266880000000011E-2</v>
      </c>
      <c r="L62" s="123">
        <v>18</v>
      </c>
      <c r="M62" s="124">
        <f>L62*L24/1000*0.8684</f>
        <v>0.16256447999999998</v>
      </c>
      <c r="N62" s="125">
        <f>L62*L24/1000*(1-0.8684)</f>
        <v>2.4635520000000011E-2</v>
      </c>
      <c r="O62" s="123">
        <v>18</v>
      </c>
      <c r="P62" s="124">
        <f>O62*O24/1000*0.8684</f>
        <v>0.16256447999999998</v>
      </c>
      <c r="Q62" s="125">
        <f>O62*O24/1000*(1-0.8684)</f>
        <v>2.4635520000000011E-2</v>
      </c>
      <c r="R62" s="123">
        <v>18</v>
      </c>
      <c r="S62" s="124">
        <f>R62*R24/1000*0.8684</f>
        <v>0.16256447999999998</v>
      </c>
      <c r="T62" s="125">
        <f>R62*R24/1000*(1-0.8684)</f>
        <v>2.4635520000000011E-2</v>
      </c>
      <c r="U62" s="123">
        <v>18</v>
      </c>
      <c r="V62" s="124">
        <f>U62*U24/1000*0.8684</f>
        <v>0.16256447999999998</v>
      </c>
      <c r="W62" s="125">
        <f>U62*U24/1000*(1-0.8684)</f>
        <v>2.4635520000000011E-2</v>
      </c>
      <c r="X62" s="123">
        <v>18</v>
      </c>
      <c r="Y62" s="124">
        <f>X62*X24/1000*0.8684</f>
        <v>0.16256447999999998</v>
      </c>
      <c r="Z62" s="125">
        <f>X62*X24/1000*(1-0.8684)</f>
        <v>2.4635520000000011E-2</v>
      </c>
      <c r="AA62" s="123">
        <v>18</v>
      </c>
      <c r="AB62" s="124">
        <f>AA62*AA24/1000*0.8684</f>
        <v>0.16256447999999998</v>
      </c>
      <c r="AC62" s="125">
        <f>AA62*AA24/1000*(1-0.8684)</f>
        <v>2.4635520000000011E-2</v>
      </c>
      <c r="AD62" s="123">
        <v>18</v>
      </c>
      <c r="AE62" s="124">
        <f>AD62*AD24/1000*0.8684</f>
        <v>0.16256447999999998</v>
      </c>
      <c r="AF62" s="125">
        <f>AD62*AD24/1000*(1-0.8684)</f>
        <v>2.4635520000000011E-2</v>
      </c>
      <c r="AG62" s="123">
        <v>32</v>
      </c>
      <c r="AH62" s="124">
        <f>AG62*AG24/1000*0.8684</f>
        <v>0.28900351999999996</v>
      </c>
      <c r="AI62" s="125">
        <f>AG62*AG24/1000*(1-0.8684)</f>
        <v>4.3796480000000013E-2</v>
      </c>
      <c r="AJ62" s="123">
        <v>32</v>
      </c>
      <c r="AK62" s="124">
        <f>AJ62*AJ24/1000*0.8684</f>
        <v>0.28900351999999996</v>
      </c>
      <c r="AL62" s="125">
        <f>AJ62*AJ24/1000*(1-0.8684)</f>
        <v>4.3796480000000013E-2</v>
      </c>
      <c r="AM62" s="123">
        <v>32</v>
      </c>
      <c r="AN62" s="124">
        <f>AM62*AM24/1000*0.8684</f>
        <v>0.28900351999999996</v>
      </c>
      <c r="AO62" s="125">
        <f>AM62*AM24/1000*(1-0.8684)</f>
        <v>4.3796480000000013E-2</v>
      </c>
      <c r="AP62" s="123">
        <v>32</v>
      </c>
      <c r="AQ62" s="124">
        <f>AP62*AP24/1000*0.8684</f>
        <v>0.28900351999999996</v>
      </c>
      <c r="AR62" s="125">
        <f>AP62*AP24/1000*(1-0.8684)</f>
        <v>4.3796480000000013E-2</v>
      </c>
      <c r="AS62" s="123">
        <v>32</v>
      </c>
      <c r="AT62" s="124">
        <f>AS62*AS24/1000*0.8684</f>
        <v>0.28900351999999996</v>
      </c>
      <c r="AU62" s="125">
        <f>AS62*AS24/1000*(1-0.8684)</f>
        <v>4.3796480000000013E-2</v>
      </c>
      <c r="AV62" s="123">
        <v>32</v>
      </c>
      <c r="AW62" s="124">
        <f>AV62*AV24/1000*0.8684</f>
        <v>0.28900351999999996</v>
      </c>
      <c r="AX62" s="125">
        <f>AV62*AV24/1000*(1-0.8684)</f>
        <v>4.3796480000000013E-2</v>
      </c>
      <c r="AY62" s="123">
        <v>36</v>
      </c>
      <c r="AZ62" s="124">
        <f>AY62*AY24/1000*0.8684</f>
        <v>0.32512895999999997</v>
      </c>
      <c r="BA62" s="125">
        <f>AY62*AY24/1000*(1-0.8684)</f>
        <v>4.9271040000000023E-2</v>
      </c>
      <c r="BB62" s="123">
        <v>36</v>
      </c>
      <c r="BC62" s="124">
        <f>BB62*BB24/1000*0.8684</f>
        <v>0.32512895999999997</v>
      </c>
      <c r="BD62" s="125">
        <f>BB62*BB24/1000*(1-0.8684)</f>
        <v>4.9271040000000023E-2</v>
      </c>
      <c r="BE62" s="123">
        <v>36</v>
      </c>
      <c r="BF62" s="124">
        <f>BE62*BE24/1000*0.8684</f>
        <v>0.32512895999999997</v>
      </c>
      <c r="BG62" s="125">
        <f>BE62*BE24/1000*(1-0.8684)</f>
        <v>4.9271040000000023E-2</v>
      </c>
      <c r="BH62" s="123">
        <v>36</v>
      </c>
      <c r="BI62" s="124">
        <f>BH62*BH24/1000*0.8684</f>
        <v>0.32512895999999997</v>
      </c>
      <c r="BJ62" s="125">
        <f>BH62*BH24/1000*(1-0.8684)</f>
        <v>4.9271040000000023E-2</v>
      </c>
      <c r="BK62" s="123">
        <v>36</v>
      </c>
      <c r="BL62" s="124">
        <f>BK62*BK24/1000*0.8684</f>
        <v>0.32512895999999997</v>
      </c>
      <c r="BM62" s="125">
        <f>BK62*BK24/1000*(1-0.8684)</f>
        <v>4.9271040000000023E-2</v>
      </c>
      <c r="BN62" s="123">
        <v>30</v>
      </c>
      <c r="BO62" s="124">
        <f>BN62*BN24/1000*0.8684</f>
        <v>0.27094079999999998</v>
      </c>
      <c r="BP62" s="125">
        <f>BN62*BN24/1000*(1-0.8684)</f>
        <v>4.1059200000000018E-2</v>
      </c>
      <c r="BQ62" s="123">
        <v>30</v>
      </c>
      <c r="BR62" s="124">
        <f>BQ62*BQ24/1000*0.8684</f>
        <v>0.27094079999999998</v>
      </c>
      <c r="BS62" s="125">
        <f>BQ62*BQ24/1000*(1-0.8684)</f>
        <v>4.1059200000000018E-2</v>
      </c>
      <c r="BT62" s="123">
        <v>30</v>
      </c>
      <c r="BU62" s="124">
        <f>BT62*BT24/1000*0.8684</f>
        <v>0.27094079999999998</v>
      </c>
      <c r="BV62" s="125">
        <f>BT62*BT24/1000*(1-0.8684)</f>
        <v>4.1059200000000018E-2</v>
      </c>
      <c r="BW62" s="123">
        <v>15</v>
      </c>
      <c r="BX62" s="124">
        <f>BW62*BW24/1000*0.8684</f>
        <v>0.13547039999999999</v>
      </c>
      <c r="BY62" s="125">
        <f>BW62*BW24/1000*(1-0.8684)</f>
        <v>2.0529600000000009E-2</v>
      </c>
      <c r="BZ62" s="123">
        <v>15</v>
      </c>
      <c r="CA62" s="124">
        <f>BZ62*BZ24/1000*0.8684</f>
        <v>0.13547039999999999</v>
      </c>
      <c r="CB62" s="125">
        <f>BZ62*BZ24/1000*(1-0.8684)</f>
        <v>2.0529600000000009E-2</v>
      </c>
    </row>
    <row r="63" spans="1:80" ht="54" customHeight="1" thickBot="1" x14ac:dyDescent="0.25">
      <c r="A63" s="1079"/>
      <c r="B63" s="1118"/>
      <c r="C63" s="64" t="s">
        <v>86</v>
      </c>
      <c r="D63" s="65" t="s">
        <v>87</v>
      </c>
      <c r="E63" s="51" t="s">
        <v>124</v>
      </c>
      <c r="F63" s="136" t="s">
        <v>124</v>
      </c>
      <c r="G63" s="136" t="s">
        <v>124</v>
      </c>
      <c r="H63" s="137" t="s">
        <v>124</v>
      </c>
      <c r="I63" s="129">
        <v>110</v>
      </c>
      <c r="J63" s="130">
        <f>I63*I24/1000*0.8752</f>
        <v>1.0012287999999998</v>
      </c>
      <c r="K63" s="131">
        <f>I63*I24/1000*(1-0.8752)</f>
        <v>0.14277120000000001</v>
      </c>
      <c r="L63" s="129">
        <v>120</v>
      </c>
      <c r="M63" s="130">
        <f>L63*L24/1000*0.8752</f>
        <v>1.0922495999999999</v>
      </c>
      <c r="N63" s="131">
        <f>L63*L24/1000*(1-0.8752)</f>
        <v>0.15575040000000004</v>
      </c>
      <c r="O63" s="129">
        <v>120</v>
      </c>
      <c r="P63" s="130">
        <f>O63*O24/1000*0.8752</f>
        <v>1.0922495999999999</v>
      </c>
      <c r="Q63" s="131">
        <f>O63*O24/1000*(1-0.8752)</f>
        <v>0.15575040000000004</v>
      </c>
      <c r="R63" s="129">
        <v>120</v>
      </c>
      <c r="S63" s="130">
        <f>R63*R24/1000*0.8752</f>
        <v>1.0922495999999999</v>
      </c>
      <c r="T63" s="131">
        <f>R63*R24/1000*(1-0.8752)</f>
        <v>0.15575040000000004</v>
      </c>
      <c r="U63" s="129">
        <v>120</v>
      </c>
      <c r="V63" s="130">
        <f>U63*U24/1000*0.8752</f>
        <v>1.0922495999999999</v>
      </c>
      <c r="W63" s="131">
        <f>U63*U24/1000*(1-0.8752)</f>
        <v>0.15575040000000004</v>
      </c>
      <c r="X63" s="129">
        <v>120</v>
      </c>
      <c r="Y63" s="130">
        <f>X63*X24/1000*0.8752</f>
        <v>1.0922495999999999</v>
      </c>
      <c r="Z63" s="131">
        <f>X63*X24/1000*(1-0.8752)</f>
        <v>0.15575040000000004</v>
      </c>
      <c r="AA63" s="129">
        <v>120</v>
      </c>
      <c r="AB63" s="130">
        <f>AA63*AA24/1000*0.8752</f>
        <v>1.0922495999999999</v>
      </c>
      <c r="AC63" s="131">
        <f>AA63*AA24/1000*(1-0.8752)</f>
        <v>0.15575040000000004</v>
      </c>
      <c r="AD63" s="129">
        <v>120</v>
      </c>
      <c r="AE63" s="130">
        <f>AD63*AD24/1000*0.8752</f>
        <v>1.0922495999999999</v>
      </c>
      <c r="AF63" s="131">
        <f>AD63*AD24/1000*(1-0.8752)</f>
        <v>0.15575040000000004</v>
      </c>
      <c r="AG63" s="129">
        <v>175</v>
      </c>
      <c r="AH63" s="130">
        <f>AG63*AG24/1000*0.8752</f>
        <v>1.5928640000000001</v>
      </c>
      <c r="AI63" s="131">
        <f>AG63*AG24/1000*(1-0.8752)</f>
        <v>0.22713600000000006</v>
      </c>
      <c r="AJ63" s="129">
        <v>175</v>
      </c>
      <c r="AK63" s="130">
        <f>AJ63*AJ24/1000*0.8752</f>
        <v>1.5928640000000001</v>
      </c>
      <c r="AL63" s="131">
        <f>AJ63*AJ24/1000*(1-0.8752)</f>
        <v>0.22713600000000006</v>
      </c>
      <c r="AM63" s="129">
        <v>175</v>
      </c>
      <c r="AN63" s="130">
        <f>AM63*AM24/1000*0.8752</f>
        <v>1.5928640000000001</v>
      </c>
      <c r="AO63" s="131">
        <f>AM63*AM24/1000*(1-0.8752)</f>
        <v>0.22713600000000006</v>
      </c>
      <c r="AP63" s="129">
        <v>175</v>
      </c>
      <c r="AQ63" s="130">
        <f>AP63*AP24/1000*0.8752</f>
        <v>1.5928640000000001</v>
      </c>
      <c r="AR63" s="131">
        <f>AP63*AP24/1000*(1-0.8752)</f>
        <v>0.22713600000000006</v>
      </c>
      <c r="AS63" s="129">
        <v>175</v>
      </c>
      <c r="AT63" s="130">
        <f>AS63*AS24/1000*0.8752</f>
        <v>1.5928640000000001</v>
      </c>
      <c r="AU63" s="131">
        <f>AS63*AS24/1000*(1-0.8752)</f>
        <v>0.22713600000000006</v>
      </c>
      <c r="AV63" s="129">
        <v>175</v>
      </c>
      <c r="AW63" s="130">
        <f>AV63*AV24/1000*0.8752</f>
        <v>1.5928640000000001</v>
      </c>
      <c r="AX63" s="131">
        <f>AV63*AV24/1000*(1-0.8752)</f>
        <v>0.22713600000000006</v>
      </c>
      <c r="AY63" s="129">
        <v>186</v>
      </c>
      <c r="AZ63" s="130">
        <f>AY63*AY24/1000*0.8752</f>
        <v>1.6929868800000001</v>
      </c>
      <c r="BA63" s="131">
        <f>AY63*AY24/1000*(1-0.8752)</f>
        <v>0.24141312000000006</v>
      </c>
      <c r="BB63" s="129">
        <v>186</v>
      </c>
      <c r="BC63" s="130">
        <f>BB63*BB24/1000*0.8752</f>
        <v>1.6929868800000001</v>
      </c>
      <c r="BD63" s="131">
        <f>BB63*BB24/1000*(1-0.8752)</f>
        <v>0.24141312000000006</v>
      </c>
      <c r="BE63" s="129">
        <v>186</v>
      </c>
      <c r="BF63" s="130">
        <f>BE63*BE24/1000*0.8752</f>
        <v>1.6929868800000001</v>
      </c>
      <c r="BG63" s="131">
        <f>BE63*BE24/1000*(1-0.8752)</f>
        <v>0.24141312000000006</v>
      </c>
      <c r="BH63" s="129">
        <v>186</v>
      </c>
      <c r="BI63" s="130">
        <f>BH63*BH24/1000*0.8752</f>
        <v>1.6929868800000001</v>
      </c>
      <c r="BJ63" s="131">
        <f>BH63*BH24/1000*(1-0.8752)</f>
        <v>0.24141312000000006</v>
      </c>
      <c r="BK63" s="129">
        <v>186</v>
      </c>
      <c r="BL63" s="130">
        <f>BK63*BK24/1000*0.8752</f>
        <v>1.6929868800000001</v>
      </c>
      <c r="BM63" s="131">
        <f>BK63*BK24/1000*(1-0.8752)</f>
        <v>0.24141312000000006</v>
      </c>
      <c r="BN63" s="129">
        <v>180</v>
      </c>
      <c r="BO63" s="130">
        <f>BN63*BN24/1000*0.8752</f>
        <v>1.6383744</v>
      </c>
      <c r="BP63" s="131">
        <f>BN63*BN24/1000*(1-0.8752)</f>
        <v>0.23362560000000004</v>
      </c>
      <c r="BQ63" s="129">
        <v>180</v>
      </c>
      <c r="BR63" s="130">
        <f>BQ63*BQ24/1000*0.8752</f>
        <v>1.6383744</v>
      </c>
      <c r="BS63" s="131">
        <f>BQ63*BQ24/1000*(1-0.8752)</f>
        <v>0.23362560000000004</v>
      </c>
      <c r="BT63" s="129">
        <v>180</v>
      </c>
      <c r="BU63" s="130">
        <f>BT63*BT24/1000*0.8752</f>
        <v>1.6383744</v>
      </c>
      <c r="BV63" s="131">
        <f>BT63*BT24/1000*(1-0.8752)</f>
        <v>0.23362560000000004</v>
      </c>
      <c r="BW63" s="129">
        <v>130</v>
      </c>
      <c r="BX63" s="130">
        <f>BW63*BW24/1000*0.8752</f>
        <v>1.1832704000000001</v>
      </c>
      <c r="BY63" s="131">
        <f>BW63*BW24/1000*(1-0.8752)</f>
        <v>0.16872960000000004</v>
      </c>
      <c r="BZ63" s="129">
        <v>130</v>
      </c>
      <c r="CA63" s="130">
        <f>BZ63*BZ24/1000*0.8752</f>
        <v>1.1832704000000001</v>
      </c>
      <c r="CB63" s="131">
        <f>BZ63*BZ24/1000*(1-0.8752)</f>
        <v>0.16872960000000004</v>
      </c>
    </row>
    <row r="64" spans="1:80" ht="15" x14ac:dyDescent="0.25">
      <c r="A64" s="1070" t="s">
        <v>28</v>
      </c>
      <c r="B64" s="1018"/>
      <c r="C64" s="1018"/>
      <c r="D64" s="1018"/>
      <c r="E64" s="1026" t="s">
        <v>126</v>
      </c>
      <c r="F64" s="1027"/>
      <c r="G64" s="1027"/>
      <c r="H64" s="1027"/>
      <c r="I64" s="1027"/>
      <c r="J64" s="1027"/>
      <c r="K64" s="1027"/>
      <c r="L64" s="1027"/>
      <c r="M64" s="1027"/>
      <c r="N64" s="1027"/>
      <c r="O64" s="1027"/>
      <c r="P64" s="1027"/>
      <c r="Q64" s="1027"/>
      <c r="R64" s="1027"/>
      <c r="S64" s="1027"/>
      <c r="T64" s="1028"/>
      <c r="U64" s="1"/>
    </row>
    <row r="65" spans="1:98" ht="15" x14ac:dyDescent="0.25">
      <c r="A65" s="1070"/>
      <c r="B65" s="1018"/>
      <c r="C65" s="1018"/>
      <c r="D65" s="1018"/>
      <c r="E65" s="1026"/>
      <c r="F65" s="1027"/>
      <c r="G65" s="1027"/>
      <c r="H65" s="1027"/>
      <c r="I65" s="1027"/>
      <c r="J65" s="1027"/>
      <c r="K65" s="1027"/>
      <c r="L65" s="1027"/>
      <c r="M65" s="1027"/>
      <c r="N65" s="1027"/>
      <c r="O65" s="1027"/>
      <c r="P65" s="1027"/>
      <c r="Q65" s="1027"/>
      <c r="R65" s="1027"/>
      <c r="S65" s="1027"/>
      <c r="T65" s="1028"/>
      <c r="U65" s="1"/>
    </row>
    <row r="66" spans="1:98" ht="15.75" thickBot="1" x14ac:dyDescent="0.3">
      <c r="A66" s="1051"/>
      <c r="B66" s="1019"/>
      <c r="C66" s="1019"/>
      <c r="D66" s="1019"/>
      <c r="E66" s="1029"/>
      <c r="F66" s="1030"/>
      <c r="G66" s="1030"/>
      <c r="H66" s="1030"/>
      <c r="I66" s="1030"/>
      <c r="J66" s="1030"/>
      <c r="K66" s="1030"/>
      <c r="L66" s="1030"/>
      <c r="M66" s="1030"/>
      <c r="N66" s="1030"/>
      <c r="O66" s="1030"/>
      <c r="P66" s="1030"/>
      <c r="Q66" s="1030"/>
      <c r="R66" s="1030"/>
      <c r="S66" s="1030"/>
      <c r="T66" s="1031"/>
      <c r="U66" s="1"/>
    </row>
    <row r="67" spans="1:98" ht="12" customHeight="1" x14ac:dyDescent="0.25">
      <c r="A67" s="3"/>
      <c r="B67" s="4"/>
      <c r="C67" s="5"/>
      <c r="D67" s="3"/>
      <c r="U67" s="1"/>
    </row>
    <row r="68" spans="1:98" ht="15" x14ac:dyDescent="0.25">
      <c r="U68" s="1"/>
    </row>
    <row r="69" spans="1:98" ht="13.5" customHeight="1" x14ac:dyDescent="0.25">
      <c r="U69" s="1"/>
    </row>
    <row r="70" spans="1:98" ht="15" hidden="1" x14ac:dyDescent="0.25">
      <c r="U70" s="1"/>
    </row>
    <row r="71" spans="1:98" ht="15" hidden="1" x14ac:dyDescent="0.25">
      <c r="U71" s="1"/>
    </row>
    <row r="72" spans="1:98" ht="15.75" hidden="1" customHeight="1" thickBot="1" x14ac:dyDescent="0.3">
      <c r="U72" s="1"/>
    </row>
    <row r="73" spans="1:98" ht="15" hidden="1" x14ac:dyDescent="0.25">
      <c r="U73" s="1"/>
    </row>
    <row r="74" spans="1:98" ht="15" x14ac:dyDescent="0.25">
      <c r="U74" s="1"/>
    </row>
    <row r="75" spans="1:98" ht="15" x14ac:dyDescent="0.25">
      <c r="U75" s="1"/>
    </row>
    <row r="76" spans="1:98" ht="15" x14ac:dyDescent="0.25">
      <c r="U76" s="1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</row>
    <row r="77" spans="1:98" s="3" customForma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98" s="3" customFormat="1" ht="16.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CD78" s="1097"/>
      <c r="CE78" s="1097"/>
      <c r="CF78" s="1097"/>
      <c r="CG78" s="1097"/>
      <c r="CH78" s="1097"/>
      <c r="CI78" s="1097"/>
      <c r="CJ78" s="1097"/>
      <c r="CK78" s="1097"/>
      <c r="CL78" s="1097"/>
      <c r="CM78" s="1097"/>
      <c r="CN78" s="1097"/>
      <c r="CO78" s="1097"/>
    </row>
    <row r="79" spans="1:98" x14ac:dyDescent="0.2">
      <c r="CC79" s="3"/>
      <c r="CD79" s="1100"/>
      <c r="CE79" s="1100"/>
      <c r="CF79" s="1100"/>
      <c r="CG79" s="1100"/>
      <c r="CH79" s="1100"/>
      <c r="CI79" s="1100"/>
      <c r="CJ79" s="1100"/>
      <c r="CK79" s="1100"/>
      <c r="CL79" s="1100"/>
      <c r="CM79" s="1100"/>
      <c r="CN79" s="1100"/>
      <c r="CO79" s="1100"/>
      <c r="CP79" s="3"/>
      <c r="CQ79" s="3"/>
      <c r="CR79" s="3"/>
      <c r="CS79" s="3"/>
      <c r="CT79" s="3"/>
    </row>
    <row r="80" spans="1:98" x14ac:dyDescent="0.2">
      <c r="CC80" s="3"/>
      <c r="CD80" s="1100"/>
      <c r="CE80" s="1100"/>
      <c r="CF80" s="1100"/>
      <c r="CG80" s="1100"/>
      <c r="CH80" s="1100"/>
      <c r="CI80" s="1100"/>
      <c r="CJ80" s="1100"/>
      <c r="CK80" s="1100"/>
      <c r="CL80" s="1100"/>
      <c r="CM80" s="1100"/>
      <c r="CN80" s="1100"/>
      <c r="CO80" s="1100"/>
      <c r="CP80" s="3"/>
      <c r="CQ80" s="3"/>
      <c r="CR80" s="3"/>
      <c r="CS80" s="3"/>
      <c r="CT80" s="3"/>
    </row>
    <row r="81" spans="81:98" ht="16.5" x14ac:dyDescent="0.25">
      <c r="CC81" s="3"/>
      <c r="CD81" s="26"/>
      <c r="CE81" s="41"/>
      <c r="CF81" s="41"/>
      <c r="CG81" s="26"/>
      <c r="CH81" s="41"/>
      <c r="CI81" s="41"/>
      <c r="CJ81" s="26"/>
      <c r="CK81" s="41"/>
      <c r="CL81" s="41"/>
      <c r="CM81" s="26"/>
      <c r="CN81" s="41"/>
      <c r="CO81" s="41"/>
      <c r="CP81" s="3"/>
      <c r="CQ81" s="3"/>
      <c r="CR81" s="3"/>
      <c r="CS81" s="3"/>
      <c r="CT81" s="3"/>
    </row>
    <row r="82" spans="81:98" ht="16.5" x14ac:dyDescent="0.25">
      <c r="CC82" s="3"/>
      <c r="CD82" s="26"/>
      <c r="CE82" s="41"/>
      <c r="CF82" s="41"/>
      <c r="CG82" s="26"/>
      <c r="CH82" s="41"/>
      <c r="CI82" s="41"/>
      <c r="CJ82" s="26"/>
      <c r="CK82" s="41"/>
      <c r="CL82" s="41"/>
      <c r="CM82" s="26"/>
      <c r="CN82" s="41"/>
      <c r="CO82" s="41"/>
      <c r="CP82" s="3"/>
      <c r="CQ82" s="3"/>
      <c r="CR82" s="3"/>
      <c r="CS82" s="3"/>
      <c r="CT82" s="3"/>
    </row>
    <row r="83" spans="81:98" ht="16.5" x14ac:dyDescent="0.25">
      <c r="CC83" s="3"/>
      <c r="CD83" s="1099"/>
      <c r="CE83" s="1099"/>
      <c r="CF83" s="1099"/>
      <c r="CG83" s="1099"/>
      <c r="CH83" s="1099"/>
      <c r="CI83" s="1099"/>
      <c r="CJ83" s="1099"/>
      <c r="CK83" s="1099"/>
      <c r="CL83" s="1099"/>
      <c r="CM83" s="1099"/>
      <c r="CN83" s="1099"/>
      <c r="CO83" s="1099"/>
      <c r="CP83" s="3"/>
      <c r="CQ83" s="3"/>
      <c r="CR83" s="3"/>
      <c r="CS83" s="3"/>
      <c r="CT83" s="3"/>
    </row>
    <row r="84" spans="81:98" ht="16.5" x14ac:dyDescent="0.25">
      <c r="CC84" s="3"/>
      <c r="CD84" s="1099"/>
      <c r="CE84" s="1099"/>
      <c r="CF84" s="1099"/>
      <c r="CG84" s="1099"/>
      <c r="CH84" s="1099"/>
      <c r="CI84" s="1099"/>
      <c r="CJ84" s="1099"/>
      <c r="CK84" s="1099"/>
      <c r="CL84" s="1099"/>
      <c r="CM84" s="1099"/>
      <c r="CN84" s="1099"/>
      <c r="CO84" s="1099"/>
      <c r="CP84" s="3"/>
      <c r="CQ84" s="3"/>
      <c r="CR84" s="3"/>
      <c r="CS84" s="3"/>
      <c r="CT84" s="3"/>
    </row>
    <row r="85" spans="81:98" ht="16.5" x14ac:dyDescent="0.25">
      <c r="CC85" s="3"/>
      <c r="CD85" s="1099"/>
      <c r="CE85" s="1099"/>
      <c r="CF85" s="1099"/>
      <c r="CG85" s="1099"/>
      <c r="CH85" s="1099"/>
      <c r="CI85" s="1099"/>
      <c r="CJ85" s="1099"/>
      <c r="CK85" s="1099"/>
      <c r="CL85" s="1099"/>
      <c r="CM85" s="1099"/>
      <c r="CN85" s="1099"/>
      <c r="CO85" s="1099"/>
      <c r="CP85" s="3"/>
      <c r="CQ85" s="3"/>
      <c r="CR85" s="3"/>
      <c r="CS85" s="3"/>
      <c r="CT85" s="3"/>
    </row>
    <row r="86" spans="81:98" ht="16.5" x14ac:dyDescent="0.25">
      <c r="CC86" s="3"/>
      <c r="CD86" s="1099"/>
      <c r="CE86" s="1099"/>
      <c r="CF86" s="1099"/>
      <c r="CG86" s="1099"/>
      <c r="CH86" s="1099"/>
      <c r="CI86" s="1099"/>
      <c r="CJ86" s="1099"/>
      <c r="CK86" s="1099"/>
      <c r="CL86" s="1099"/>
      <c r="CM86" s="1099"/>
      <c r="CN86" s="1099"/>
      <c r="CO86" s="1099"/>
      <c r="CP86" s="3"/>
      <c r="CQ86" s="3"/>
      <c r="CR86" s="3"/>
      <c r="CS86" s="3"/>
      <c r="CT86" s="3"/>
    </row>
    <row r="87" spans="81:98" ht="16.5" x14ac:dyDescent="0.25">
      <c r="CC87" s="3"/>
      <c r="CD87" s="26"/>
      <c r="CE87" s="41"/>
      <c r="CF87" s="41"/>
      <c r="CG87" s="26"/>
      <c r="CH87" s="41"/>
      <c r="CI87" s="41"/>
      <c r="CJ87" s="26"/>
      <c r="CK87" s="41"/>
      <c r="CL87" s="41"/>
      <c r="CM87" s="26"/>
      <c r="CN87" s="41"/>
      <c r="CO87" s="41"/>
      <c r="CP87" s="3"/>
      <c r="CQ87" s="3"/>
      <c r="CR87" s="3"/>
      <c r="CS87" s="3"/>
      <c r="CT87" s="3"/>
    </row>
    <row r="88" spans="81:98" ht="16.5" x14ac:dyDescent="0.25">
      <c r="CC88" s="3"/>
      <c r="CD88" s="26"/>
      <c r="CE88" s="41"/>
      <c r="CF88" s="41"/>
      <c r="CG88" s="26"/>
      <c r="CH88" s="41"/>
      <c r="CI88" s="41"/>
      <c r="CJ88" s="26"/>
      <c r="CK88" s="41"/>
      <c r="CL88" s="41"/>
      <c r="CM88" s="26"/>
      <c r="CN88" s="41"/>
      <c r="CO88" s="41"/>
      <c r="CP88" s="3"/>
      <c r="CQ88" s="3"/>
      <c r="CR88" s="3"/>
      <c r="CS88" s="3"/>
      <c r="CT88" s="3"/>
    </row>
    <row r="89" spans="81:98" ht="16.5" x14ac:dyDescent="0.25">
      <c r="CC89" s="3"/>
      <c r="CD89" s="1099"/>
      <c r="CE89" s="1099"/>
      <c r="CF89" s="1099"/>
      <c r="CG89" s="1099"/>
      <c r="CH89" s="1099"/>
      <c r="CI89" s="1099"/>
      <c r="CJ89" s="1099"/>
      <c r="CK89" s="1099"/>
      <c r="CL89" s="1099"/>
      <c r="CM89" s="1099"/>
      <c r="CN89" s="1099"/>
      <c r="CO89" s="1099"/>
      <c r="CP89" s="3"/>
      <c r="CQ89" s="3"/>
      <c r="CR89" s="3"/>
      <c r="CS89" s="3"/>
      <c r="CT89" s="3"/>
    </row>
    <row r="90" spans="81:98" ht="16.5" x14ac:dyDescent="0.25">
      <c r="CC90" s="3"/>
      <c r="CD90" s="1099"/>
      <c r="CE90" s="1099"/>
      <c r="CF90" s="1099"/>
      <c r="CG90" s="1099"/>
      <c r="CH90" s="1099"/>
      <c r="CI90" s="1099"/>
      <c r="CJ90" s="1099"/>
      <c r="CK90" s="1099"/>
      <c r="CL90" s="1099"/>
      <c r="CM90" s="1099"/>
      <c r="CN90" s="1099"/>
      <c r="CO90" s="1099"/>
      <c r="CP90" s="3"/>
      <c r="CQ90" s="3"/>
      <c r="CR90" s="3"/>
      <c r="CS90" s="3"/>
      <c r="CT90" s="3"/>
    </row>
    <row r="91" spans="81:98" ht="16.5" x14ac:dyDescent="0.25">
      <c r="CC91" s="3"/>
      <c r="CD91" s="1099"/>
      <c r="CE91" s="1099"/>
      <c r="CF91" s="1099"/>
      <c r="CG91" s="1099"/>
      <c r="CH91" s="1099"/>
      <c r="CI91" s="1099"/>
      <c r="CJ91" s="1099"/>
      <c r="CK91" s="1099"/>
      <c r="CL91" s="1099"/>
      <c r="CM91" s="1099"/>
      <c r="CN91" s="1099"/>
      <c r="CO91" s="1099"/>
      <c r="CP91" s="3"/>
      <c r="CQ91" s="3"/>
      <c r="CR91" s="3"/>
      <c r="CS91" s="3"/>
      <c r="CT91" s="3"/>
    </row>
    <row r="92" spans="81:98" ht="16.5" x14ac:dyDescent="0.25">
      <c r="CC92" s="3"/>
      <c r="CD92" s="1099"/>
      <c r="CE92" s="1099"/>
      <c r="CF92" s="1099"/>
      <c r="CG92" s="1099"/>
      <c r="CH92" s="1099"/>
      <c r="CI92" s="1099"/>
      <c r="CJ92" s="1099"/>
      <c r="CK92" s="1099"/>
      <c r="CL92" s="1099"/>
      <c r="CM92" s="1099"/>
      <c r="CN92" s="1099"/>
      <c r="CO92" s="1099"/>
      <c r="CP92" s="3"/>
      <c r="CQ92" s="3"/>
      <c r="CR92" s="3"/>
      <c r="CS92" s="3"/>
      <c r="CT92" s="3"/>
    </row>
    <row r="93" spans="81:98" x14ac:dyDescent="0.2">
      <c r="CC93" s="3"/>
      <c r="CD93" s="1086"/>
      <c r="CE93" s="1086"/>
      <c r="CF93" s="1086"/>
      <c r="CG93" s="1086"/>
      <c r="CH93" s="1086"/>
      <c r="CI93" s="1086"/>
      <c r="CJ93" s="1086"/>
      <c r="CK93" s="1086"/>
      <c r="CL93" s="1086"/>
      <c r="CM93" s="1086"/>
      <c r="CN93" s="1086"/>
      <c r="CO93" s="1086"/>
      <c r="CP93" s="3"/>
      <c r="CQ93" s="3"/>
      <c r="CR93" s="3"/>
      <c r="CS93" s="3"/>
      <c r="CT93" s="3"/>
    </row>
    <row r="94" spans="81:98" x14ac:dyDescent="0.2">
      <c r="CC94" s="3"/>
      <c r="CD94" s="1086"/>
      <c r="CE94" s="1086"/>
      <c r="CF94" s="1086"/>
      <c r="CG94" s="1086"/>
      <c r="CH94" s="1086"/>
      <c r="CI94" s="1086"/>
      <c r="CJ94" s="1086"/>
      <c r="CK94" s="1086"/>
      <c r="CL94" s="1086"/>
      <c r="CM94" s="1086"/>
      <c r="CN94" s="1086"/>
      <c r="CO94" s="1086"/>
      <c r="CP94" s="3"/>
      <c r="CQ94" s="3"/>
      <c r="CR94" s="3"/>
      <c r="CS94" s="3"/>
      <c r="CT94" s="3"/>
    </row>
    <row r="95" spans="81:98" x14ac:dyDescent="0.2">
      <c r="CC95" s="3"/>
      <c r="CD95" s="1086"/>
      <c r="CE95" s="1086"/>
      <c r="CF95" s="1086"/>
      <c r="CG95" s="1086"/>
      <c r="CH95" s="1086"/>
      <c r="CI95" s="1086"/>
      <c r="CJ95" s="1086"/>
      <c r="CK95" s="1086"/>
      <c r="CL95" s="1086"/>
      <c r="CM95" s="1086"/>
      <c r="CN95" s="1086"/>
      <c r="CO95" s="1086"/>
      <c r="CP95" s="3"/>
      <c r="CQ95" s="3"/>
      <c r="CR95" s="3"/>
      <c r="CS95" s="3"/>
      <c r="CT95" s="3"/>
    </row>
    <row r="96" spans="81:98" x14ac:dyDescent="0.2">
      <c r="CC96" s="3"/>
      <c r="CD96" s="1086"/>
      <c r="CE96" s="1086"/>
      <c r="CF96" s="1086"/>
      <c r="CG96" s="1086"/>
      <c r="CH96" s="1086"/>
      <c r="CI96" s="1086"/>
      <c r="CJ96" s="1086"/>
      <c r="CK96" s="1086"/>
      <c r="CL96" s="1086"/>
      <c r="CM96" s="1086"/>
      <c r="CN96" s="1086"/>
      <c r="CO96" s="1086"/>
      <c r="CP96" s="3"/>
      <c r="CQ96" s="3"/>
      <c r="CR96" s="3"/>
      <c r="CS96" s="3"/>
      <c r="CT96" s="3"/>
    </row>
    <row r="97" spans="81:98" x14ac:dyDescent="0.2">
      <c r="CC97" s="3"/>
      <c r="CD97" s="1086"/>
      <c r="CE97" s="1086"/>
      <c r="CF97" s="1086"/>
      <c r="CG97" s="1086"/>
      <c r="CH97" s="1086"/>
      <c r="CI97" s="1086"/>
      <c r="CJ97" s="1086"/>
      <c r="CK97" s="1086"/>
      <c r="CL97" s="1086"/>
      <c r="CM97" s="1086"/>
      <c r="CN97" s="1086"/>
      <c r="CO97" s="1086"/>
      <c r="CP97" s="3"/>
      <c r="CQ97" s="3"/>
      <c r="CR97" s="3"/>
      <c r="CS97" s="3"/>
      <c r="CT97" s="3"/>
    </row>
    <row r="98" spans="81:98" x14ac:dyDescent="0.2">
      <c r="CC98" s="3"/>
      <c r="CD98" s="1086"/>
      <c r="CE98" s="1086"/>
      <c r="CF98" s="1086"/>
      <c r="CG98" s="1086"/>
      <c r="CH98" s="1086"/>
      <c r="CI98" s="1086"/>
      <c r="CJ98" s="1086"/>
      <c r="CK98" s="1086"/>
      <c r="CL98" s="1086"/>
      <c r="CM98" s="1086"/>
      <c r="CN98" s="1086"/>
      <c r="CO98" s="1086"/>
      <c r="CP98" s="3"/>
      <c r="CQ98" s="3"/>
      <c r="CR98" s="3"/>
      <c r="CS98" s="3"/>
      <c r="CT98" s="3"/>
    </row>
    <row r="99" spans="81:98" x14ac:dyDescent="0.2">
      <c r="CC99" s="3"/>
      <c r="CD99" s="1086"/>
      <c r="CE99" s="1086"/>
      <c r="CF99" s="1086"/>
      <c r="CG99" s="1086"/>
      <c r="CH99" s="1086"/>
      <c r="CI99" s="1086"/>
      <c r="CJ99" s="1086"/>
      <c r="CK99" s="1086"/>
      <c r="CL99" s="1086"/>
      <c r="CM99" s="1086"/>
      <c r="CN99" s="1086"/>
      <c r="CO99" s="1086"/>
      <c r="CP99" s="3"/>
      <c r="CQ99" s="3"/>
      <c r="CR99" s="3"/>
      <c r="CS99" s="3"/>
      <c r="CT99" s="3"/>
    </row>
    <row r="100" spans="81:98" x14ac:dyDescent="0.2">
      <c r="CC100" s="3"/>
      <c r="CD100" s="1086"/>
      <c r="CE100" s="1086"/>
      <c r="CF100" s="1086"/>
      <c r="CG100" s="1086"/>
      <c r="CH100" s="1086"/>
      <c r="CI100" s="1086"/>
      <c r="CJ100" s="1086"/>
      <c r="CK100" s="1086"/>
      <c r="CL100" s="1086"/>
      <c r="CM100" s="1086"/>
      <c r="CN100" s="1086"/>
      <c r="CO100" s="1086"/>
      <c r="CP100" s="3"/>
      <c r="CQ100" s="3"/>
      <c r="CR100" s="3"/>
      <c r="CS100" s="3"/>
      <c r="CT100" s="3"/>
    </row>
    <row r="101" spans="81:98" x14ac:dyDescent="0.2">
      <c r="CC101" s="3"/>
      <c r="CD101" s="1086"/>
      <c r="CE101" s="1086"/>
      <c r="CF101" s="1086"/>
      <c r="CG101" s="1086"/>
      <c r="CH101" s="1086"/>
      <c r="CI101" s="1086"/>
      <c r="CJ101" s="1086"/>
      <c r="CK101" s="1086"/>
      <c r="CL101" s="1086"/>
      <c r="CM101" s="1086"/>
      <c r="CN101" s="1086"/>
      <c r="CO101" s="1086"/>
      <c r="CP101" s="3"/>
      <c r="CQ101" s="3"/>
      <c r="CR101" s="3"/>
      <c r="CS101" s="3"/>
      <c r="CT101" s="3"/>
    </row>
    <row r="102" spans="81:98" x14ac:dyDescent="0.2">
      <c r="CC102" s="3"/>
      <c r="CD102" s="1086"/>
      <c r="CE102" s="1086"/>
      <c r="CF102" s="1086"/>
      <c r="CG102" s="1086"/>
      <c r="CH102" s="1086"/>
      <c r="CI102" s="1086"/>
      <c r="CJ102" s="1086"/>
      <c r="CK102" s="1086"/>
      <c r="CL102" s="1086"/>
      <c r="CM102" s="1086"/>
      <c r="CN102" s="1086"/>
      <c r="CO102" s="1086"/>
      <c r="CP102" s="3"/>
      <c r="CQ102" s="3"/>
      <c r="CR102" s="3"/>
      <c r="CS102" s="3"/>
      <c r="CT102" s="3"/>
    </row>
    <row r="103" spans="81:98" x14ac:dyDescent="0.2">
      <c r="CC103" s="3"/>
      <c r="CD103" s="1086"/>
      <c r="CE103" s="1086"/>
      <c r="CF103" s="1086"/>
      <c r="CG103" s="1086"/>
      <c r="CH103" s="1086"/>
      <c r="CI103" s="1086"/>
      <c r="CJ103" s="1086"/>
      <c r="CK103" s="1086"/>
      <c r="CL103" s="1086"/>
      <c r="CM103" s="1086"/>
      <c r="CN103" s="1086"/>
      <c r="CO103" s="1086"/>
      <c r="CP103" s="3"/>
      <c r="CQ103" s="3"/>
      <c r="CR103" s="3"/>
      <c r="CS103" s="3"/>
      <c r="CT103" s="3"/>
    </row>
    <row r="104" spans="81:98" x14ac:dyDescent="0.2">
      <c r="CC104" s="3"/>
      <c r="CD104" s="1086"/>
      <c r="CE104" s="1086"/>
      <c r="CF104" s="1086"/>
      <c r="CG104" s="1086"/>
      <c r="CH104" s="1086"/>
      <c r="CI104" s="1086"/>
      <c r="CJ104" s="1086"/>
      <c r="CK104" s="1086"/>
      <c r="CL104" s="1086"/>
      <c r="CM104" s="1086"/>
      <c r="CN104" s="1086"/>
      <c r="CO104" s="1086"/>
      <c r="CP104" s="3"/>
      <c r="CQ104" s="3"/>
      <c r="CR104" s="3"/>
      <c r="CS104" s="3"/>
      <c r="CT104" s="3"/>
    </row>
    <row r="105" spans="81:98" ht="16.5" x14ac:dyDescent="0.25">
      <c r="CC105" s="3"/>
      <c r="CD105" s="7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3"/>
      <c r="CQ105" s="3"/>
      <c r="CR105" s="3"/>
      <c r="CS105" s="3"/>
      <c r="CT105" s="3"/>
    </row>
    <row r="106" spans="81:98" ht="16.5" x14ac:dyDescent="0.25">
      <c r="CC106" s="3"/>
      <c r="CD106" s="7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3"/>
      <c r="CQ106" s="3"/>
      <c r="CR106" s="3"/>
      <c r="CS106" s="3"/>
      <c r="CT106" s="3"/>
    </row>
    <row r="107" spans="81:98" x14ac:dyDescent="0.2"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</row>
    <row r="108" spans="81:98" x14ac:dyDescent="0.2"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</row>
    <row r="109" spans="81:98" x14ac:dyDescent="0.2"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</row>
    <row r="110" spans="81:98" x14ac:dyDescent="0.2"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</row>
    <row r="111" spans="81:98" x14ac:dyDescent="0.2"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</row>
    <row r="112" spans="81:98" ht="16.5" x14ac:dyDescent="0.2">
      <c r="CC112" s="3"/>
      <c r="CD112" s="1097"/>
      <c r="CE112" s="1097"/>
      <c r="CF112" s="1097"/>
      <c r="CG112" s="1097"/>
      <c r="CH112" s="1097"/>
      <c r="CI112" s="1097"/>
      <c r="CJ112" s="1097"/>
      <c r="CK112" s="1097"/>
      <c r="CL112" s="1097"/>
      <c r="CM112" s="1097"/>
      <c r="CN112" s="1097"/>
      <c r="CO112" s="1097"/>
      <c r="CP112" s="3"/>
      <c r="CQ112" s="3"/>
      <c r="CR112" s="3"/>
      <c r="CS112" s="3"/>
      <c r="CT112" s="3"/>
    </row>
    <row r="113" spans="81:98" x14ac:dyDescent="0.2">
      <c r="CC113" s="3"/>
      <c r="CD113" s="1098"/>
      <c r="CE113" s="1098"/>
      <c r="CF113" s="1098"/>
      <c r="CG113" s="1098"/>
      <c r="CH113" s="1098"/>
      <c r="CI113" s="1098"/>
      <c r="CJ113" s="1098"/>
      <c r="CK113" s="1098"/>
      <c r="CL113" s="1098"/>
      <c r="CM113" s="1098"/>
      <c r="CN113" s="1098"/>
      <c r="CO113" s="1098"/>
      <c r="CP113" s="3"/>
      <c r="CQ113" s="3"/>
      <c r="CR113" s="3"/>
      <c r="CS113" s="3"/>
      <c r="CT113" s="3"/>
    </row>
    <row r="114" spans="81:98" x14ac:dyDescent="0.2">
      <c r="CC114" s="3"/>
      <c r="CD114" s="1098"/>
      <c r="CE114" s="1098"/>
      <c r="CF114" s="1098"/>
      <c r="CG114" s="1098"/>
      <c r="CH114" s="1098"/>
      <c r="CI114" s="1098"/>
      <c r="CJ114" s="1098"/>
      <c r="CK114" s="1098"/>
      <c r="CL114" s="1098"/>
      <c r="CM114" s="1098"/>
      <c r="CN114" s="1098"/>
      <c r="CO114" s="1098"/>
      <c r="CP114" s="3"/>
      <c r="CQ114" s="3"/>
      <c r="CR114" s="3"/>
      <c r="CS114" s="3"/>
      <c r="CT114" s="3"/>
    </row>
    <row r="115" spans="81:98" ht="16.5" x14ac:dyDescent="0.25">
      <c r="CC115" s="3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3"/>
      <c r="CQ115" s="3"/>
      <c r="CR115" s="3"/>
      <c r="CS115" s="3"/>
      <c r="CT115" s="3"/>
    </row>
    <row r="116" spans="81:98" ht="16.5" x14ac:dyDescent="0.25">
      <c r="CC116" s="3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3"/>
      <c r="CQ116" s="3"/>
      <c r="CR116" s="3"/>
      <c r="CS116" s="3"/>
      <c r="CT116" s="3"/>
    </row>
    <row r="117" spans="81:98" ht="16.5" x14ac:dyDescent="0.25">
      <c r="CC117" s="3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2"/>
      <c r="CP117" s="3"/>
      <c r="CQ117" s="3"/>
      <c r="CR117" s="3"/>
      <c r="CS117" s="3"/>
      <c r="CT117" s="3"/>
    </row>
    <row r="118" spans="81:98" ht="16.5" x14ac:dyDescent="0.25">
      <c r="CC118" s="3"/>
      <c r="CD118" s="72"/>
      <c r="CE118" s="72"/>
      <c r="CF118" s="72"/>
      <c r="CG118" s="72"/>
      <c r="CH118" s="72"/>
      <c r="CI118" s="72"/>
      <c r="CJ118" s="72"/>
      <c r="CK118" s="72"/>
      <c r="CL118" s="72"/>
      <c r="CM118" s="72"/>
      <c r="CN118" s="72"/>
      <c r="CO118" s="72"/>
      <c r="CP118" s="3"/>
      <c r="CQ118" s="3"/>
      <c r="CR118" s="3"/>
      <c r="CS118" s="3"/>
      <c r="CT118" s="3"/>
    </row>
    <row r="119" spans="81:98" ht="16.5" x14ac:dyDescent="0.25">
      <c r="CC119" s="3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3"/>
      <c r="CQ119" s="3"/>
      <c r="CR119" s="3"/>
      <c r="CS119" s="3"/>
      <c r="CT119" s="3"/>
    </row>
    <row r="120" spans="81:98" ht="16.5" x14ac:dyDescent="0.25">
      <c r="CC120" s="3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72"/>
      <c r="CO120" s="72"/>
      <c r="CP120" s="3"/>
      <c r="CQ120" s="3"/>
      <c r="CR120" s="3"/>
      <c r="CS120" s="3"/>
      <c r="CT120" s="3"/>
    </row>
    <row r="121" spans="81:98" ht="16.5" x14ac:dyDescent="0.25">
      <c r="CC121" s="3"/>
      <c r="CD121" s="72"/>
      <c r="CE121" s="72"/>
      <c r="CF121" s="72"/>
      <c r="CG121" s="72"/>
      <c r="CH121" s="72"/>
      <c r="CI121" s="72"/>
      <c r="CJ121" s="72"/>
      <c r="CK121" s="72"/>
      <c r="CL121" s="72"/>
      <c r="CM121" s="72"/>
      <c r="CN121" s="72"/>
      <c r="CO121" s="72"/>
      <c r="CP121" s="3"/>
      <c r="CQ121" s="3"/>
      <c r="CR121" s="3"/>
      <c r="CS121" s="3"/>
      <c r="CT121" s="3"/>
    </row>
    <row r="122" spans="81:98" ht="16.5" x14ac:dyDescent="0.25">
      <c r="CC122" s="3"/>
      <c r="CD122" s="72"/>
      <c r="CE122" s="72"/>
      <c r="CF122" s="72"/>
      <c r="CG122" s="72"/>
      <c r="CH122" s="72"/>
      <c r="CI122" s="72"/>
      <c r="CJ122" s="72"/>
      <c r="CK122" s="72"/>
      <c r="CL122" s="72"/>
      <c r="CM122" s="72"/>
      <c r="CN122" s="72"/>
      <c r="CO122" s="72"/>
      <c r="CP122" s="3"/>
      <c r="CQ122" s="3"/>
      <c r="CR122" s="3"/>
      <c r="CS122" s="3"/>
      <c r="CT122" s="3"/>
    </row>
    <row r="123" spans="81:98" ht="16.5" x14ac:dyDescent="0.25">
      <c r="CC123" s="3"/>
      <c r="CD123" s="73"/>
      <c r="CE123" s="71"/>
      <c r="CF123" s="71"/>
      <c r="CG123" s="73"/>
      <c r="CH123" s="71"/>
      <c r="CI123" s="71"/>
      <c r="CJ123" s="73"/>
      <c r="CK123" s="71"/>
      <c r="CL123" s="71"/>
      <c r="CM123" s="74"/>
      <c r="CN123" s="71"/>
      <c r="CO123" s="71"/>
      <c r="CP123" s="3"/>
      <c r="CQ123" s="3"/>
      <c r="CR123" s="3"/>
      <c r="CS123" s="3"/>
      <c r="CT123" s="3"/>
    </row>
    <row r="124" spans="81:98" ht="16.5" x14ac:dyDescent="0.25">
      <c r="CC124" s="3"/>
      <c r="CD124" s="73"/>
      <c r="CE124" s="71"/>
      <c r="CF124" s="71"/>
      <c r="CG124" s="73"/>
      <c r="CH124" s="71"/>
      <c r="CI124" s="71"/>
      <c r="CJ124" s="73"/>
      <c r="CK124" s="71"/>
      <c r="CL124" s="71"/>
      <c r="CM124" s="74"/>
      <c r="CN124" s="71"/>
      <c r="CO124" s="71"/>
      <c r="CP124" s="3"/>
      <c r="CQ124" s="3"/>
      <c r="CR124" s="3"/>
      <c r="CS124" s="3"/>
      <c r="CT124" s="3"/>
    </row>
    <row r="125" spans="81:98" ht="16.5" x14ac:dyDescent="0.25">
      <c r="CC125" s="3"/>
      <c r="CD125" s="73"/>
      <c r="CE125" s="71"/>
      <c r="CF125" s="71"/>
      <c r="CG125" s="73"/>
      <c r="CH125" s="71"/>
      <c r="CI125" s="71"/>
      <c r="CJ125" s="73"/>
      <c r="CK125" s="71"/>
      <c r="CL125" s="71"/>
      <c r="CM125" s="74"/>
      <c r="CN125" s="71"/>
      <c r="CO125" s="71"/>
      <c r="CP125" s="3"/>
      <c r="CQ125" s="3"/>
      <c r="CR125" s="3"/>
      <c r="CS125" s="3"/>
      <c r="CT125" s="3"/>
    </row>
    <row r="126" spans="81:98" ht="16.5" x14ac:dyDescent="0.25">
      <c r="CC126" s="3"/>
      <c r="CD126" s="73"/>
      <c r="CE126" s="71"/>
      <c r="CF126" s="71"/>
      <c r="CG126" s="73"/>
      <c r="CH126" s="71"/>
      <c r="CI126" s="71"/>
      <c r="CJ126" s="73"/>
      <c r="CK126" s="71"/>
      <c r="CL126" s="71"/>
      <c r="CM126" s="74"/>
      <c r="CN126" s="71"/>
      <c r="CO126" s="71"/>
      <c r="CP126" s="3"/>
      <c r="CQ126" s="3"/>
      <c r="CR126" s="3"/>
      <c r="CS126" s="3"/>
      <c r="CT126" s="3"/>
    </row>
    <row r="127" spans="81:98" ht="16.5" x14ac:dyDescent="0.25">
      <c r="CC127" s="3"/>
      <c r="CD127" s="73"/>
      <c r="CE127" s="71"/>
      <c r="CF127" s="71"/>
      <c r="CG127" s="73"/>
      <c r="CH127" s="71"/>
      <c r="CI127" s="71"/>
      <c r="CJ127" s="73"/>
      <c r="CK127" s="71"/>
      <c r="CL127" s="71"/>
      <c r="CM127" s="74"/>
      <c r="CN127" s="71"/>
      <c r="CO127" s="71"/>
      <c r="CP127" s="3"/>
      <c r="CQ127" s="3"/>
      <c r="CR127" s="3"/>
      <c r="CS127" s="3"/>
      <c r="CT127" s="3"/>
    </row>
    <row r="128" spans="81:98" ht="16.5" x14ac:dyDescent="0.25">
      <c r="CC128" s="3"/>
      <c r="CD128" s="73"/>
      <c r="CE128" s="71"/>
      <c r="CF128" s="71"/>
      <c r="CG128" s="73"/>
      <c r="CH128" s="71"/>
      <c r="CI128" s="71"/>
      <c r="CJ128" s="73"/>
      <c r="CK128" s="71"/>
      <c r="CL128" s="71"/>
      <c r="CM128" s="74"/>
      <c r="CN128" s="71"/>
      <c r="CO128" s="71"/>
      <c r="CP128" s="3"/>
      <c r="CQ128" s="3"/>
      <c r="CR128" s="3"/>
      <c r="CS128" s="3"/>
      <c r="CT128" s="3"/>
    </row>
    <row r="129" spans="81:98" ht="16.5" x14ac:dyDescent="0.25">
      <c r="CC129" s="3"/>
      <c r="CD129" s="73"/>
      <c r="CE129" s="71"/>
      <c r="CF129" s="71"/>
      <c r="CG129" s="73"/>
      <c r="CH129" s="71"/>
      <c r="CI129" s="71"/>
      <c r="CJ129" s="73"/>
      <c r="CK129" s="71"/>
      <c r="CL129" s="71"/>
      <c r="CM129" s="74"/>
      <c r="CN129" s="71"/>
      <c r="CO129" s="71"/>
      <c r="CP129" s="3"/>
      <c r="CQ129" s="3"/>
      <c r="CR129" s="3"/>
      <c r="CS129" s="3"/>
      <c r="CT129" s="3"/>
    </row>
    <row r="130" spans="81:98" ht="16.5" x14ac:dyDescent="0.25">
      <c r="CC130" s="3"/>
      <c r="CD130" s="73"/>
      <c r="CE130" s="71"/>
      <c r="CF130" s="71"/>
      <c r="CG130" s="73"/>
      <c r="CH130" s="71"/>
      <c r="CI130" s="71"/>
      <c r="CJ130" s="73"/>
      <c r="CK130" s="71"/>
      <c r="CL130" s="71"/>
      <c r="CM130" s="74"/>
      <c r="CN130" s="71"/>
      <c r="CO130" s="71"/>
      <c r="CP130" s="3"/>
      <c r="CQ130" s="3"/>
      <c r="CR130" s="3"/>
      <c r="CS130" s="3"/>
      <c r="CT130" s="3"/>
    </row>
    <row r="131" spans="81:98" x14ac:dyDescent="0.2"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</row>
    <row r="132" spans="81:98" x14ac:dyDescent="0.2"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</row>
    <row r="133" spans="81:98" x14ac:dyDescent="0.2"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</row>
  </sheetData>
  <mergeCells count="741">
    <mergeCell ref="A45:H45"/>
    <mergeCell ref="I45:K45"/>
    <mergeCell ref="A46:D47"/>
    <mergeCell ref="E46:F46"/>
    <mergeCell ref="G46:H46"/>
    <mergeCell ref="I46:I47"/>
    <mergeCell ref="J46:J47"/>
    <mergeCell ref="A64:D66"/>
    <mergeCell ref="E64:T66"/>
    <mergeCell ref="A48:A63"/>
    <mergeCell ref="B56:B63"/>
    <mergeCell ref="Q46:Q47"/>
    <mergeCell ref="R46:R47"/>
    <mergeCell ref="S46:S47"/>
    <mergeCell ref="T46:T47"/>
    <mergeCell ref="B48:B55"/>
    <mergeCell ref="K46:K47"/>
    <mergeCell ref="L46:L47"/>
    <mergeCell ref="M46:M47"/>
    <mergeCell ref="N46:N47"/>
    <mergeCell ref="O46:O47"/>
    <mergeCell ref="P46:P47"/>
    <mergeCell ref="L45:N45"/>
    <mergeCell ref="O45:Q45"/>
    <mergeCell ref="A43:D43"/>
    <mergeCell ref="E43:G43"/>
    <mergeCell ref="N43:O43"/>
    <mergeCell ref="Q43:R43"/>
    <mergeCell ref="F44:G44"/>
    <mergeCell ref="N44:O44"/>
    <mergeCell ref="Q44:R44"/>
    <mergeCell ref="A41:D41"/>
    <mergeCell ref="E41:G41"/>
    <mergeCell ref="N41:O41"/>
    <mergeCell ref="Q41:R41"/>
    <mergeCell ref="A42:D42"/>
    <mergeCell ref="E42:G42"/>
    <mergeCell ref="N42:O42"/>
    <mergeCell ref="Q42:R42"/>
    <mergeCell ref="A38:D39"/>
    <mergeCell ref="E38:H38"/>
    <mergeCell ref="E39:H39"/>
    <mergeCell ref="F40:G40"/>
    <mergeCell ref="N40:O40"/>
    <mergeCell ref="Q40:R40"/>
    <mergeCell ref="Q32:Q34"/>
    <mergeCell ref="R32:R34"/>
    <mergeCell ref="S32:S34"/>
    <mergeCell ref="A32:C37"/>
    <mergeCell ref="D32:D37"/>
    <mergeCell ref="T32:T34"/>
    <mergeCell ref="E35:F37"/>
    <mergeCell ref="G35:H37"/>
    <mergeCell ref="I35:K37"/>
    <mergeCell ref="L35:N37"/>
    <mergeCell ref="O35:Q37"/>
    <mergeCell ref="R35:T37"/>
    <mergeCell ref="K32:K34"/>
    <mergeCell ref="L32:L34"/>
    <mergeCell ref="M32:M34"/>
    <mergeCell ref="N32:N34"/>
    <mergeCell ref="O32:O34"/>
    <mergeCell ref="P32:P34"/>
    <mergeCell ref="E32:F34"/>
    <mergeCell ref="G32:H34"/>
    <mergeCell ref="I32:I34"/>
    <mergeCell ref="J32:J34"/>
    <mergeCell ref="R26:R28"/>
    <mergeCell ref="S26:S28"/>
    <mergeCell ref="T26:T28"/>
    <mergeCell ref="E29:F31"/>
    <mergeCell ref="G29:H31"/>
    <mergeCell ref="I29:K31"/>
    <mergeCell ref="L29:N31"/>
    <mergeCell ref="O29:Q31"/>
    <mergeCell ref="R29:T31"/>
    <mergeCell ref="K26:K28"/>
    <mergeCell ref="L26:L28"/>
    <mergeCell ref="M26:M28"/>
    <mergeCell ref="N26:N28"/>
    <mergeCell ref="O26:O28"/>
    <mergeCell ref="P26:P28"/>
    <mergeCell ref="A26:C31"/>
    <mergeCell ref="D26:D31"/>
    <mergeCell ref="E26:F28"/>
    <mergeCell ref="G26:H28"/>
    <mergeCell ref="I26:I28"/>
    <mergeCell ref="J26:J28"/>
    <mergeCell ref="I24:K24"/>
    <mergeCell ref="L24:N24"/>
    <mergeCell ref="O24:Q24"/>
    <mergeCell ref="A20:C25"/>
    <mergeCell ref="D20:D25"/>
    <mergeCell ref="E20:F21"/>
    <mergeCell ref="G20:H20"/>
    <mergeCell ref="G21:H21"/>
    <mergeCell ref="Q26:Q28"/>
    <mergeCell ref="O19:Q19"/>
    <mergeCell ref="R19:T19"/>
    <mergeCell ref="R24:T24"/>
    <mergeCell ref="E25:H25"/>
    <mergeCell ref="I25:K25"/>
    <mergeCell ref="L25:N25"/>
    <mergeCell ref="O25:Q25"/>
    <mergeCell ref="R25:T25"/>
    <mergeCell ref="I22:K22"/>
    <mergeCell ref="L22:N22"/>
    <mergeCell ref="O22:Q22"/>
    <mergeCell ref="R22:T22"/>
    <mergeCell ref="E23:F24"/>
    <mergeCell ref="G23:H23"/>
    <mergeCell ref="I23:K23"/>
    <mergeCell ref="L23:N23"/>
    <mergeCell ref="O23:Q23"/>
    <mergeCell ref="R23:T23"/>
    <mergeCell ref="E22:H22"/>
    <mergeCell ref="G24:H24"/>
    <mergeCell ref="O16:Q16"/>
    <mergeCell ref="R16:T16"/>
    <mergeCell ref="E17:F18"/>
    <mergeCell ref="G17:H17"/>
    <mergeCell ref="I17:K17"/>
    <mergeCell ref="L17:N17"/>
    <mergeCell ref="O17:Q17"/>
    <mergeCell ref="R17:T17"/>
    <mergeCell ref="G18:H18"/>
    <mergeCell ref="I18:K18"/>
    <mergeCell ref="L18:N18"/>
    <mergeCell ref="O18:Q18"/>
    <mergeCell ref="R18:T18"/>
    <mergeCell ref="A14:C19"/>
    <mergeCell ref="D14:D19"/>
    <mergeCell ref="E14:F15"/>
    <mergeCell ref="G14:H14"/>
    <mergeCell ref="G15:H15"/>
    <mergeCell ref="E16:H16"/>
    <mergeCell ref="I16:K16"/>
    <mergeCell ref="L12:L13"/>
    <mergeCell ref="M12:M13"/>
    <mergeCell ref="A12:C13"/>
    <mergeCell ref="D12:D13"/>
    <mergeCell ref="E12:H13"/>
    <mergeCell ref="I12:I13"/>
    <mergeCell ref="J12:J13"/>
    <mergeCell ref="K12:K13"/>
    <mergeCell ref="L16:N16"/>
    <mergeCell ref="E19:H19"/>
    <mergeCell ref="I19:K19"/>
    <mergeCell ref="L19:N19"/>
    <mergeCell ref="Q7:T7"/>
    <mergeCell ref="Q8:T8"/>
    <mergeCell ref="A9:T10"/>
    <mergeCell ref="A11:H11"/>
    <mergeCell ref="I11:K11"/>
    <mergeCell ref="L11:N11"/>
    <mergeCell ref="O11:Q11"/>
    <mergeCell ref="R11:T11"/>
    <mergeCell ref="R12:R13"/>
    <mergeCell ref="S12:S13"/>
    <mergeCell ref="T12:T13"/>
    <mergeCell ref="N12:N13"/>
    <mergeCell ref="O12:O13"/>
    <mergeCell ref="P12:P13"/>
    <mergeCell ref="Q12:Q13"/>
    <mergeCell ref="X11:Z11"/>
    <mergeCell ref="AA11:AC11"/>
    <mergeCell ref="AD11:AF11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F12:AF13"/>
    <mergeCell ref="U11:W11"/>
    <mergeCell ref="U16:W16"/>
    <mergeCell ref="X16:Z16"/>
    <mergeCell ref="AA16:AC16"/>
    <mergeCell ref="AD16:AF16"/>
    <mergeCell ref="U17:W17"/>
    <mergeCell ref="X17:Z17"/>
    <mergeCell ref="AA17:AC17"/>
    <mergeCell ref="AD17:AF17"/>
    <mergeCell ref="U18:W18"/>
    <mergeCell ref="X18:Z18"/>
    <mergeCell ref="AA18:AC18"/>
    <mergeCell ref="AD18:AF18"/>
    <mergeCell ref="U19:W19"/>
    <mergeCell ref="X19:Z19"/>
    <mergeCell ref="AA19:AC19"/>
    <mergeCell ref="AD19:AF19"/>
    <mergeCell ref="U22:W22"/>
    <mergeCell ref="X22:Z22"/>
    <mergeCell ref="AA22:AC22"/>
    <mergeCell ref="AD22:AF22"/>
    <mergeCell ref="U23:W23"/>
    <mergeCell ref="X23:Z23"/>
    <mergeCell ref="AA23:AC23"/>
    <mergeCell ref="AD23:AF23"/>
    <mergeCell ref="AF32:AF34"/>
    <mergeCell ref="U24:W24"/>
    <mergeCell ref="X24:Z24"/>
    <mergeCell ref="AA24:AC24"/>
    <mergeCell ref="AD24:AF24"/>
    <mergeCell ref="U25:W25"/>
    <mergeCell ref="X25:Z25"/>
    <mergeCell ref="AA25:AC25"/>
    <mergeCell ref="AD25:AF25"/>
    <mergeCell ref="U26:U28"/>
    <mergeCell ref="V26:V28"/>
    <mergeCell ref="W26:W28"/>
    <mergeCell ref="X26:X28"/>
    <mergeCell ref="Y26:Y28"/>
    <mergeCell ref="Z26:Z28"/>
    <mergeCell ref="AA26:AA28"/>
    <mergeCell ref="AB26:AB28"/>
    <mergeCell ref="AC26:AC28"/>
    <mergeCell ref="AD26:AD28"/>
    <mergeCell ref="AE26:AE28"/>
    <mergeCell ref="AF26:AF28"/>
    <mergeCell ref="AL12:AL13"/>
    <mergeCell ref="AM12:AM13"/>
    <mergeCell ref="AN12:AN13"/>
    <mergeCell ref="AO12:AO13"/>
    <mergeCell ref="AP12:AP13"/>
    <mergeCell ref="AQ12:AQ13"/>
    <mergeCell ref="AR12:AR13"/>
    <mergeCell ref="AG16:AI16"/>
    <mergeCell ref="AJ16:AL16"/>
    <mergeCell ref="AM16:AO16"/>
    <mergeCell ref="AP16:AR16"/>
    <mergeCell ref="U35:W37"/>
    <mergeCell ref="X35:Z37"/>
    <mergeCell ref="AA35:AC37"/>
    <mergeCell ref="AD35:AF37"/>
    <mergeCell ref="AG12:AG13"/>
    <mergeCell ref="AH12:AH13"/>
    <mergeCell ref="AI12:AI13"/>
    <mergeCell ref="AJ12:AJ13"/>
    <mergeCell ref="AK12:AK13"/>
    <mergeCell ref="U29:W31"/>
    <mergeCell ref="X29:Z31"/>
    <mergeCell ref="AA29:AC31"/>
    <mergeCell ref="AD29:AF31"/>
    <mergeCell ref="U32:U34"/>
    <mergeCell ref="V32:V34"/>
    <mergeCell ref="W32:W34"/>
    <mergeCell ref="X32:X34"/>
    <mergeCell ref="Y32:Y34"/>
    <mergeCell ref="Z32:Z34"/>
    <mergeCell ref="AA32:AA34"/>
    <mergeCell ref="AB32:AB34"/>
    <mergeCell ref="AC32:AC34"/>
    <mergeCell ref="AD32:AD34"/>
    <mergeCell ref="AE32:AE34"/>
    <mergeCell ref="AG17:AI17"/>
    <mergeCell ref="AJ17:AL17"/>
    <mergeCell ref="AM17:AO17"/>
    <mergeCell ref="AP17:AR17"/>
    <mergeCell ref="AG18:AI18"/>
    <mergeCell ref="AJ18:AL18"/>
    <mergeCell ref="AM18:AO18"/>
    <mergeCell ref="AP18:AR18"/>
    <mergeCell ref="AG19:AI19"/>
    <mergeCell ref="AJ19:AL19"/>
    <mergeCell ref="AM19:AO19"/>
    <mergeCell ref="AP19:AR19"/>
    <mergeCell ref="AG22:AI22"/>
    <mergeCell ref="AJ22:AL22"/>
    <mergeCell ref="AM22:AO22"/>
    <mergeCell ref="AP22:AR22"/>
    <mergeCell ref="AG23:AI23"/>
    <mergeCell ref="AJ23:AL23"/>
    <mergeCell ref="AM23:AO23"/>
    <mergeCell ref="AP23:AR23"/>
    <mergeCell ref="AG24:AI24"/>
    <mergeCell ref="AJ24:AL24"/>
    <mergeCell ref="AM24:AO24"/>
    <mergeCell ref="AP24:AR24"/>
    <mergeCell ref="AK26:AK28"/>
    <mergeCell ref="AL26:AL28"/>
    <mergeCell ref="AM26:AM28"/>
    <mergeCell ref="AN26:AN28"/>
    <mergeCell ref="AO26:AO28"/>
    <mergeCell ref="AP26:AP28"/>
    <mergeCell ref="AQ26:AQ28"/>
    <mergeCell ref="AR26:AR28"/>
    <mergeCell ref="AH32:AH34"/>
    <mergeCell ref="AI32:AI34"/>
    <mergeCell ref="AJ32:AJ34"/>
    <mergeCell ref="AK32:AK34"/>
    <mergeCell ref="AL32:AL34"/>
    <mergeCell ref="AM32:AM34"/>
    <mergeCell ref="AN32:AN34"/>
    <mergeCell ref="AO32:AO34"/>
    <mergeCell ref="AP32:AP34"/>
    <mergeCell ref="AG35:AI37"/>
    <mergeCell ref="AJ35:AL37"/>
    <mergeCell ref="AM35:AO37"/>
    <mergeCell ref="AP35:AR37"/>
    <mergeCell ref="AS17:AU17"/>
    <mergeCell ref="AV17:AX17"/>
    <mergeCell ref="AG29:AI31"/>
    <mergeCell ref="AJ29:AL31"/>
    <mergeCell ref="AM29:AO31"/>
    <mergeCell ref="AP29:AR31"/>
    <mergeCell ref="AG32:AG34"/>
    <mergeCell ref="AQ32:AQ34"/>
    <mergeCell ref="AR32:AR34"/>
    <mergeCell ref="AG25:AI25"/>
    <mergeCell ref="AJ25:AL25"/>
    <mergeCell ref="AM25:AO25"/>
    <mergeCell ref="AP25:AR25"/>
    <mergeCell ref="AG26:AG28"/>
    <mergeCell ref="AH26:AH28"/>
    <mergeCell ref="AI26:AI28"/>
    <mergeCell ref="AJ26:AJ28"/>
    <mergeCell ref="AY17:BA17"/>
    <mergeCell ref="BB17:BD17"/>
    <mergeCell ref="BE17:BG17"/>
    <mergeCell ref="AS19:AU19"/>
    <mergeCell ref="AV19:AX19"/>
    <mergeCell ref="AY19:BA19"/>
    <mergeCell ref="BB19:BD19"/>
    <mergeCell ref="BE19:BG19"/>
    <mergeCell ref="AS23:AU23"/>
    <mergeCell ref="AV23:AX23"/>
    <mergeCell ref="AY23:BA23"/>
    <mergeCell ref="BB23:BD23"/>
    <mergeCell ref="BE23:BG23"/>
    <mergeCell ref="AS18:AU18"/>
    <mergeCell ref="AV18:AX18"/>
    <mergeCell ref="AY18:BA18"/>
    <mergeCell ref="BB18:BD18"/>
    <mergeCell ref="BE18:BG18"/>
    <mergeCell ref="AS22:AU22"/>
    <mergeCell ref="AV22:AX22"/>
    <mergeCell ref="AY22:BA22"/>
    <mergeCell ref="BB22:BD22"/>
    <mergeCell ref="BE22:BG22"/>
    <mergeCell ref="BB12:BB13"/>
    <mergeCell ref="BC12:BC13"/>
    <mergeCell ref="BD12:BD13"/>
    <mergeCell ref="BE12:BE13"/>
    <mergeCell ref="BF12:BF13"/>
    <mergeCell ref="BG12:BG13"/>
    <mergeCell ref="BH12:BH13"/>
    <mergeCell ref="BI12:BI13"/>
    <mergeCell ref="BL12:BL13"/>
    <mergeCell ref="AS12:AS13"/>
    <mergeCell ref="AT12:AT13"/>
    <mergeCell ref="AU12:AU13"/>
    <mergeCell ref="AV12:AV13"/>
    <mergeCell ref="AW12:AW13"/>
    <mergeCell ref="AX12:AX13"/>
    <mergeCell ref="AY12:AY13"/>
    <mergeCell ref="AZ12:AZ13"/>
    <mergeCell ref="BA12:BA13"/>
    <mergeCell ref="BH11:BJ11"/>
    <mergeCell ref="BK11:BM11"/>
    <mergeCell ref="BN11:BP11"/>
    <mergeCell ref="BQ11:BS11"/>
    <mergeCell ref="CB12:CB13"/>
    <mergeCell ref="AS16:AU16"/>
    <mergeCell ref="AV16:AX16"/>
    <mergeCell ref="AY16:BA16"/>
    <mergeCell ref="BB16:BD16"/>
    <mergeCell ref="BE16:BG16"/>
    <mergeCell ref="BH16:BJ16"/>
    <mergeCell ref="BK16:BM16"/>
    <mergeCell ref="BN16:BP16"/>
    <mergeCell ref="BQ16:BS16"/>
    <mergeCell ref="BT16:BV16"/>
    <mergeCell ref="BW16:BY16"/>
    <mergeCell ref="BZ16:CB16"/>
    <mergeCell ref="BS12:BS13"/>
    <mergeCell ref="BT12:BT13"/>
    <mergeCell ref="BU12:BU13"/>
    <mergeCell ref="BV12:BV13"/>
    <mergeCell ref="BT11:BV11"/>
    <mergeCell ref="BW11:BY11"/>
    <mergeCell ref="BZ11:CB11"/>
    <mergeCell ref="BW12:BW13"/>
    <mergeCell ref="BX12:BX13"/>
    <mergeCell ref="BY12:BY13"/>
    <mergeCell ref="BZ12:BZ13"/>
    <mergeCell ref="CA12:CA13"/>
    <mergeCell ref="BJ12:BJ13"/>
    <mergeCell ref="BK12:BK13"/>
    <mergeCell ref="BH17:BJ17"/>
    <mergeCell ref="BK17:BM17"/>
    <mergeCell ref="BN17:BP17"/>
    <mergeCell ref="BQ17:BS17"/>
    <mergeCell ref="BT17:BV17"/>
    <mergeCell ref="BW17:BY17"/>
    <mergeCell ref="BZ17:CB17"/>
    <mergeCell ref="BP12:BP13"/>
    <mergeCell ref="BQ12:BQ13"/>
    <mergeCell ref="BR12:BR13"/>
    <mergeCell ref="BM12:BM13"/>
    <mergeCell ref="BN12:BN13"/>
    <mergeCell ref="BO12:BO13"/>
    <mergeCell ref="BH18:BJ18"/>
    <mergeCell ref="BK18:BM18"/>
    <mergeCell ref="BN18:BP18"/>
    <mergeCell ref="BQ18:BS18"/>
    <mergeCell ref="BT18:BV18"/>
    <mergeCell ref="BW18:BY18"/>
    <mergeCell ref="BZ18:CB18"/>
    <mergeCell ref="BH19:BJ19"/>
    <mergeCell ref="BK19:BM19"/>
    <mergeCell ref="BN19:BP19"/>
    <mergeCell ref="BQ19:BS19"/>
    <mergeCell ref="BT19:BV19"/>
    <mergeCell ref="BW19:BY19"/>
    <mergeCell ref="BZ19:CB19"/>
    <mergeCell ref="BH22:BJ22"/>
    <mergeCell ref="BK22:BM22"/>
    <mergeCell ref="BN22:BP22"/>
    <mergeCell ref="BQ22:BS22"/>
    <mergeCell ref="BT22:BV22"/>
    <mergeCell ref="BW22:BY22"/>
    <mergeCell ref="BZ22:CB22"/>
    <mergeCell ref="AS24:AU24"/>
    <mergeCell ref="AV24:AX24"/>
    <mergeCell ref="AY24:BA24"/>
    <mergeCell ref="BB24:BD24"/>
    <mergeCell ref="BE24:BG24"/>
    <mergeCell ref="BH24:BJ24"/>
    <mergeCell ref="BK24:BM24"/>
    <mergeCell ref="BN24:BP24"/>
    <mergeCell ref="BQ24:BS24"/>
    <mergeCell ref="BN25:BP25"/>
    <mergeCell ref="BQ25:BS25"/>
    <mergeCell ref="BH23:BJ23"/>
    <mergeCell ref="BK23:BM23"/>
    <mergeCell ref="BN23:BP23"/>
    <mergeCell ref="BQ23:BS23"/>
    <mergeCell ref="BT23:BV23"/>
    <mergeCell ref="BW23:BY23"/>
    <mergeCell ref="BZ23:CB23"/>
    <mergeCell ref="BT24:BV24"/>
    <mergeCell ref="BW24:BY24"/>
    <mergeCell ref="BZ24:CB24"/>
    <mergeCell ref="BK26:BK28"/>
    <mergeCell ref="BL26:BL28"/>
    <mergeCell ref="BM26:BM28"/>
    <mergeCell ref="AS25:AU25"/>
    <mergeCell ref="AV25:AX25"/>
    <mergeCell ref="AY25:BA25"/>
    <mergeCell ref="BB25:BD25"/>
    <mergeCell ref="BE25:BG25"/>
    <mergeCell ref="BH25:BJ25"/>
    <mergeCell ref="BK25:BM25"/>
    <mergeCell ref="BT26:BT28"/>
    <mergeCell ref="BU26:BU28"/>
    <mergeCell ref="BV26:BV28"/>
    <mergeCell ref="BT25:BV25"/>
    <mergeCell ref="BW25:BY25"/>
    <mergeCell ref="BZ25:CB25"/>
    <mergeCell ref="AS26:AS28"/>
    <mergeCell ref="AT26:AT28"/>
    <mergeCell ref="AU26:AU28"/>
    <mergeCell ref="AV26:AV28"/>
    <mergeCell ref="AW26:AW28"/>
    <mergeCell ref="AX26:AX28"/>
    <mergeCell ref="AY26:AY28"/>
    <mergeCell ref="AZ26:AZ28"/>
    <mergeCell ref="BA26:BA28"/>
    <mergeCell ref="BB26:BB28"/>
    <mergeCell ref="BC26:BC28"/>
    <mergeCell ref="BD26:BD28"/>
    <mergeCell ref="BE26:BE28"/>
    <mergeCell ref="BF26:BF28"/>
    <mergeCell ref="BG26:BG28"/>
    <mergeCell ref="BH26:BH28"/>
    <mergeCell ref="BI26:BI28"/>
    <mergeCell ref="BJ26:BJ28"/>
    <mergeCell ref="BW26:BW28"/>
    <mergeCell ref="BX26:BX28"/>
    <mergeCell ref="BY26:BY28"/>
    <mergeCell ref="BZ26:BZ28"/>
    <mergeCell ref="CA26:CA28"/>
    <mergeCell ref="CB26:CB28"/>
    <mergeCell ref="AS29:AU31"/>
    <mergeCell ref="AV29:AX31"/>
    <mergeCell ref="AY29:BA31"/>
    <mergeCell ref="BB29:BD31"/>
    <mergeCell ref="BE29:BG31"/>
    <mergeCell ref="BH29:BJ31"/>
    <mergeCell ref="BK29:BM31"/>
    <mergeCell ref="BN29:BP31"/>
    <mergeCell ref="BQ29:BS31"/>
    <mergeCell ref="BT29:BV31"/>
    <mergeCell ref="BW29:BY31"/>
    <mergeCell ref="BZ29:CB31"/>
    <mergeCell ref="BN26:BN28"/>
    <mergeCell ref="BO26:BO28"/>
    <mergeCell ref="BP26:BP28"/>
    <mergeCell ref="BQ26:BQ28"/>
    <mergeCell ref="BR26:BR28"/>
    <mergeCell ref="BS26:BS28"/>
    <mergeCell ref="BF32:BF34"/>
    <mergeCell ref="BG32:BG34"/>
    <mergeCell ref="BH32:BH34"/>
    <mergeCell ref="BI32:BI34"/>
    <mergeCell ref="BJ32:BJ34"/>
    <mergeCell ref="AS32:AS34"/>
    <mergeCell ref="AT32:AT34"/>
    <mergeCell ref="AU32:AU34"/>
    <mergeCell ref="AV32:AV34"/>
    <mergeCell ref="AW32:AW34"/>
    <mergeCell ref="AX32:AX34"/>
    <mergeCell ref="AY32:AY34"/>
    <mergeCell ref="AZ32:AZ34"/>
    <mergeCell ref="BA32:BA34"/>
    <mergeCell ref="BZ32:BZ34"/>
    <mergeCell ref="CA32:CA34"/>
    <mergeCell ref="CB32:CB34"/>
    <mergeCell ref="BK32:BK34"/>
    <mergeCell ref="BL32:BL34"/>
    <mergeCell ref="BM32:BM34"/>
    <mergeCell ref="BN32:BN34"/>
    <mergeCell ref="BO32:BO34"/>
    <mergeCell ref="BP32:BP34"/>
    <mergeCell ref="BQ32:BQ34"/>
    <mergeCell ref="BR32:BR34"/>
    <mergeCell ref="BS32:BS34"/>
    <mergeCell ref="BH35:BJ37"/>
    <mergeCell ref="BK35:BM37"/>
    <mergeCell ref="BN35:BP37"/>
    <mergeCell ref="BQ35:BS37"/>
    <mergeCell ref="BT32:BT34"/>
    <mergeCell ref="BU32:BU34"/>
    <mergeCell ref="BV32:BV34"/>
    <mergeCell ref="BW32:BW34"/>
    <mergeCell ref="BX32:BX34"/>
    <mergeCell ref="BT35:BV37"/>
    <mergeCell ref="BW35:BY37"/>
    <mergeCell ref="BY32:BY34"/>
    <mergeCell ref="BZ35:CB37"/>
    <mergeCell ref="U45:W45"/>
    <mergeCell ref="X45:Z45"/>
    <mergeCell ref="AA45:AC45"/>
    <mergeCell ref="AD45:AF45"/>
    <mergeCell ref="U46:U47"/>
    <mergeCell ref="V46:V47"/>
    <mergeCell ref="W46:W47"/>
    <mergeCell ref="X46:X47"/>
    <mergeCell ref="Y46:Y47"/>
    <mergeCell ref="Z46:Z47"/>
    <mergeCell ref="AA46:AA47"/>
    <mergeCell ref="AB46:AB47"/>
    <mergeCell ref="AC46:AC47"/>
    <mergeCell ref="AD46:AD47"/>
    <mergeCell ref="AE46:AE47"/>
    <mergeCell ref="AF46:AF47"/>
    <mergeCell ref="AG45:AI45"/>
    <mergeCell ref="AJ45:AL45"/>
    <mergeCell ref="AM45:AO45"/>
    <mergeCell ref="AP45:AR45"/>
    <mergeCell ref="AG46:AG47"/>
    <mergeCell ref="AZ46:AZ47"/>
    <mergeCell ref="BA46:BA47"/>
    <mergeCell ref="BB46:BB47"/>
    <mergeCell ref="BC46:BC47"/>
    <mergeCell ref="BD46:BD47"/>
    <mergeCell ref="AH46:AH47"/>
    <mergeCell ref="AI46:AI47"/>
    <mergeCell ref="AJ46:AJ47"/>
    <mergeCell ref="AK46:AK47"/>
    <mergeCell ref="AL46:AL47"/>
    <mergeCell ref="AM46:AM47"/>
    <mergeCell ref="AN46:AN47"/>
    <mergeCell ref="AO46:AO47"/>
    <mergeCell ref="AP46:AP47"/>
    <mergeCell ref="AQ46:AQ47"/>
    <mergeCell ref="AR46:AR47"/>
    <mergeCell ref="AS46:AS47"/>
    <mergeCell ref="AT46:AT47"/>
    <mergeCell ref="AU46:AU47"/>
    <mergeCell ref="AV46:AV47"/>
    <mergeCell ref="AW46:AW47"/>
    <mergeCell ref="AX46:AX47"/>
    <mergeCell ref="AY46:AY47"/>
    <mergeCell ref="BH45:BJ45"/>
    <mergeCell ref="BK45:BM45"/>
    <mergeCell ref="BN45:BP45"/>
    <mergeCell ref="BE46:BE47"/>
    <mergeCell ref="BF46:BF47"/>
    <mergeCell ref="BG46:BG47"/>
    <mergeCell ref="BH46:BH47"/>
    <mergeCell ref="BI46:BI47"/>
    <mergeCell ref="BJ46:BJ47"/>
    <mergeCell ref="BK46:BK47"/>
    <mergeCell ref="BL46:BL47"/>
    <mergeCell ref="BM46:BM47"/>
    <mergeCell ref="BN46:BN47"/>
    <mergeCell ref="BO46:BO47"/>
    <mergeCell ref="BP46:BP47"/>
    <mergeCell ref="BQ45:BS45"/>
    <mergeCell ref="BT45:BV45"/>
    <mergeCell ref="BW45:BY45"/>
    <mergeCell ref="BZ45:CB45"/>
    <mergeCell ref="BQ46:BQ47"/>
    <mergeCell ref="BR46:BR47"/>
    <mergeCell ref="BS46:BS47"/>
    <mergeCell ref="BT46:BT47"/>
    <mergeCell ref="BU46:BU47"/>
    <mergeCell ref="BV46:BV47"/>
    <mergeCell ref="BW46:BW47"/>
    <mergeCell ref="BX46:BX47"/>
    <mergeCell ref="BY46:BY47"/>
    <mergeCell ref="BZ46:BZ47"/>
    <mergeCell ref="CA46:CA47"/>
    <mergeCell ref="CB46:CB47"/>
    <mergeCell ref="CD78:CF78"/>
    <mergeCell ref="CG78:CI78"/>
    <mergeCell ref="CJ78:CL78"/>
    <mergeCell ref="CM78:CO78"/>
    <mergeCell ref="CD79:CD80"/>
    <mergeCell ref="CE79:CE80"/>
    <mergeCell ref="CF79:CF80"/>
    <mergeCell ref="CG79:CG80"/>
    <mergeCell ref="CH79:CH80"/>
    <mergeCell ref="CI79:CI80"/>
    <mergeCell ref="CJ79:CJ80"/>
    <mergeCell ref="CK79:CK80"/>
    <mergeCell ref="CL79:CL80"/>
    <mergeCell ref="CM79:CM80"/>
    <mergeCell ref="CN79:CN80"/>
    <mergeCell ref="CO79:CO80"/>
    <mergeCell ref="CD85:CF85"/>
    <mergeCell ref="CG85:CI85"/>
    <mergeCell ref="CJ85:CL85"/>
    <mergeCell ref="CM85:CO85"/>
    <mergeCell ref="CD86:CF86"/>
    <mergeCell ref="CG86:CI86"/>
    <mergeCell ref="CJ86:CL86"/>
    <mergeCell ref="CM86:CO86"/>
    <mergeCell ref="CD83:CF83"/>
    <mergeCell ref="CG83:CI83"/>
    <mergeCell ref="CJ83:CL83"/>
    <mergeCell ref="CM83:CO83"/>
    <mergeCell ref="CD84:CF84"/>
    <mergeCell ref="CG84:CI84"/>
    <mergeCell ref="CJ84:CL84"/>
    <mergeCell ref="CM84:CO84"/>
    <mergeCell ref="CD91:CF91"/>
    <mergeCell ref="CG91:CI91"/>
    <mergeCell ref="CJ91:CL91"/>
    <mergeCell ref="CM91:CO91"/>
    <mergeCell ref="CD92:CF92"/>
    <mergeCell ref="CG92:CI92"/>
    <mergeCell ref="CJ92:CL92"/>
    <mergeCell ref="CM92:CO92"/>
    <mergeCell ref="CD89:CF89"/>
    <mergeCell ref="CG89:CI89"/>
    <mergeCell ref="CJ89:CL89"/>
    <mergeCell ref="CM89:CO89"/>
    <mergeCell ref="CD90:CF90"/>
    <mergeCell ref="CG90:CI90"/>
    <mergeCell ref="CJ90:CL90"/>
    <mergeCell ref="CM90:CO90"/>
    <mergeCell ref="CM93:CM95"/>
    <mergeCell ref="CN93:CN95"/>
    <mergeCell ref="CO93:CO95"/>
    <mergeCell ref="CD96:CF98"/>
    <mergeCell ref="CG96:CI98"/>
    <mergeCell ref="CJ96:CL98"/>
    <mergeCell ref="CM96:CO98"/>
    <mergeCell ref="CD93:CD95"/>
    <mergeCell ref="CE93:CE95"/>
    <mergeCell ref="CF93:CF95"/>
    <mergeCell ref="CG93:CG95"/>
    <mergeCell ref="CH93:CH95"/>
    <mergeCell ref="CI93:CI95"/>
    <mergeCell ref="CJ93:CJ95"/>
    <mergeCell ref="CK93:CK95"/>
    <mergeCell ref="CL93:CL95"/>
    <mergeCell ref="CM99:CM101"/>
    <mergeCell ref="CN99:CN101"/>
    <mergeCell ref="CO99:CO101"/>
    <mergeCell ref="CD102:CF104"/>
    <mergeCell ref="CG102:CI104"/>
    <mergeCell ref="CJ102:CL104"/>
    <mergeCell ref="CM102:CO104"/>
    <mergeCell ref="CD99:CD101"/>
    <mergeCell ref="CE99:CE101"/>
    <mergeCell ref="CF99:CF101"/>
    <mergeCell ref="CG99:CG101"/>
    <mergeCell ref="CH99:CH101"/>
    <mergeCell ref="CI99:CI101"/>
    <mergeCell ref="CJ99:CJ101"/>
    <mergeCell ref="CK99:CK101"/>
    <mergeCell ref="CL99:CL101"/>
    <mergeCell ref="CD112:CF112"/>
    <mergeCell ref="CG112:CI112"/>
    <mergeCell ref="CJ112:CL112"/>
    <mergeCell ref="CM112:CO112"/>
    <mergeCell ref="CD113:CD114"/>
    <mergeCell ref="CE113:CE114"/>
    <mergeCell ref="CF113:CF114"/>
    <mergeCell ref="CG113:CG114"/>
    <mergeCell ref="CH113:CH114"/>
    <mergeCell ref="CI113:CI114"/>
    <mergeCell ref="CJ113:CJ114"/>
    <mergeCell ref="CK113:CK114"/>
    <mergeCell ref="CL113:CL114"/>
    <mergeCell ref="CM113:CM114"/>
    <mergeCell ref="CN113:CN114"/>
    <mergeCell ref="CO113:CO114"/>
    <mergeCell ref="R45:T45"/>
    <mergeCell ref="AS45:AU45"/>
    <mergeCell ref="AV45:AX45"/>
    <mergeCell ref="AY45:BA45"/>
    <mergeCell ref="BB45:BD45"/>
    <mergeCell ref="BE11:BG11"/>
    <mergeCell ref="BB11:BD11"/>
    <mergeCell ref="AY11:BA11"/>
    <mergeCell ref="AV11:AX11"/>
    <mergeCell ref="AS11:AU11"/>
    <mergeCell ref="AP11:AR11"/>
    <mergeCell ref="AM11:AO11"/>
    <mergeCell ref="AJ11:AL11"/>
    <mergeCell ref="AG11:AI11"/>
    <mergeCell ref="BE45:BG45"/>
    <mergeCell ref="AS35:AU37"/>
    <mergeCell ref="AV35:AX37"/>
    <mergeCell ref="AY35:BA37"/>
    <mergeCell ref="BB35:BD37"/>
    <mergeCell ref="BE35:BG37"/>
    <mergeCell ref="BB32:BB34"/>
    <mergeCell ref="BC32:BC34"/>
    <mergeCell ref="BD32:BD34"/>
    <mergeCell ref="BE32:BE34"/>
  </mergeCells>
  <pageMargins left="0.59055118110236227" right="0.19685039370078741" top="0.59055118110236227" bottom="0.19685039370078741" header="0.51181102362204722" footer="0.51181102362204722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2"/>
  <sheetViews>
    <sheetView view="pageBreakPreview" zoomScale="55" zoomScaleNormal="100" zoomScaleSheetLayoutView="55" workbookViewId="0">
      <selection activeCell="BZ53" sqref="BZ53:CB57"/>
    </sheetView>
  </sheetViews>
  <sheetFormatPr defaultRowHeight="12.75" x14ac:dyDescent="0.2"/>
  <cols>
    <col min="1" max="2" width="3.28515625" style="2" customWidth="1"/>
    <col min="3" max="3" width="7" style="2" customWidth="1"/>
    <col min="4" max="4" width="23.140625" style="2" customWidth="1"/>
    <col min="5" max="5" width="5.85546875" style="2" customWidth="1"/>
    <col min="6" max="6" width="9.140625" style="2" customWidth="1"/>
    <col min="7" max="8" width="5.85546875" style="2" customWidth="1"/>
    <col min="9" max="20" width="8.7109375" style="2" customWidth="1"/>
    <col min="21" max="22" width="8" style="2" customWidth="1"/>
    <col min="23" max="256" width="9.140625" style="2"/>
    <col min="257" max="258" width="3.28515625" style="2" customWidth="1"/>
    <col min="259" max="259" width="5.85546875" style="2" customWidth="1"/>
    <col min="260" max="260" width="18" style="2" customWidth="1"/>
    <col min="261" max="264" width="5.85546875" style="2" customWidth="1"/>
    <col min="265" max="276" width="7.42578125" style="2" customWidth="1"/>
    <col min="277" max="278" width="8" style="2" customWidth="1"/>
    <col min="279" max="512" width="9.140625" style="2"/>
    <col min="513" max="514" width="3.28515625" style="2" customWidth="1"/>
    <col min="515" max="515" width="5.85546875" style="2" customWidth="1"/>
    <col min="516" max="516" width="18" style="2" customWidth="1"/>
    <col min="517" max="520" width="5.85546875" style="2" customWidth="1"/>
    <col min="521" max="532" width="7.42578125" style="2" customWidth="1"/>
    <col min="533" max="534" width="8" style="2" customWidth="1"/>
    <col min="535" max="768" width="9.140625" style="2"/>
    <col min="769" max="770" width="3.28515625" style="2" customWidth="1"/>
    <col min="771" max="771" width="5.85546875" style="2" customWidth="1"/>
    <col min="772" max="772" width="18" style="2" customWidth="1"/>
    <col min="773" max="776" width="5.85546875" style="2" customWidth="1"/>
    <col min="777" max="788" width="7.42578125" style="2" customWidth="1"/>
    <col min="789" max="790" width="8" style="2" customWidth="1"/>
    <col min="791" max="1024" width="9.140625" style="2"/>
    <col min="1025" max="1026" width="3.28515625" style="2" customWidth="1"/>
    <col min="1027" max="1027" width="5.85546875" style="2" customWidth="1"/>
    <col min="1028" max="1028" width="18" style="2" customWidth="1"/>
    <col min="1029" max="1032" width="5.85546875" style="2" customWidth="1"/>
    <col min="1033" max="1044" width="7.42578125" style="2" customWidth="1"/>
    <col min="1045" max="1046" width="8" style="2" customWidth="1"/>
    <col min="1047" max="1280" width="9.140625" style="2"/>
    <col min="1281" max="1282" width="3.28515625" style="2" customWidth="1"/>
    <col min="1283" max="1283" width="5.85546875" style="2" customWidth="1"/>
    <col min="1284" max="1284" width="18" style="2" customWidth="1"/>
    <col min="1285" max="1288" width="5.85546875" style="2" customWidth="1"/>
    <col min="1289" max="1300" width="7.42578125" style="2" customWidth="1"/>
    <col min="1301" max="1302" width="8" style="2" customWidth="1"/>
    <col min="1303" max="1536" width="9.140625" style="2"/>
    <col min="1537" max="1538" width="3.28515625" style="2" customWidth="1"/>
    <col min="1539" max="1539" width="5.85546875" style="2" customWidth="1"/>
    <col min="1540" max="1540" width="18" style="2" customWidth="1"/>
    <col min="1541" max="1544" width="5.85546875" style="2" customWidth="1"/>
    <col min="1545" max="1556" width="7.42578125" style="2" customWidth="1"/>
    <col min="1557" max="1558" width="8" style="2" customWidth="1"/>
    <col min="1559" max="1792" width="9.140625" style="2"/>
    <col min="1793" max="1794" width="3.28515625" style="2" customWidth="1"/>
    <col min="1795" max="1795" width="5.85546875" style="2" customWidth="1"/>
    <col min="1796" max="1796" width="18" style="2" customWidth="1"/>
    <col min="1797" max="1800" width="5.85546875" style="2" customWidth="1"/>
    <col min="1801" max="1812" width="7.42578125" style="2" customWidth="1"/>
    <col min="1813" max="1814" width="8" style="2" customWidth="1"/>
    <col min="1815" max="2048" width="9.140625" style="2"/>
    <col min="2049" max="2050" width="3.28515625" style="2" customWidth="1"/>
    <col min="2051" max="2051" width="5.85546875" style="2" customWidth="1"/>
    <col min="2052" max="2052" width="18" style="2" customWidth="1"/>
    <col min="2053" max="2056" width="5.85546875" style="2" customWidth="1"/>
    <col min="2057" max="2068" width="7.42578125" style="2" customWidth="1"/>
    <col min="2069" max="2070" width="8" style="2" customWidth="1"/>
    <col min="2071" max="2304" width="9.140625" style="2"/>
    <col min="2305" max="2306" width="3.28515625" style="2" customWidth="1"/>
    <col min="2307" max="2307" width="5.85546875" style="2" customWidth="1"/>
    <col min="2308" max="2308" width="18" style="2" customWidth="1"/>
    <col min="2309" max="2312" width="5.85546875" style="2" customWidth="1"/>
    <col min="2313" max="2324" width="7.42578125" style="2" customWidth="1"/>
    <col min="2325" max="2326" width="8" style="2" customWidth="1"/>
    <col min="2327" max="2560" width="9.140625" style="2"/>
    <col min="2561" max="2562" width="3.28515625" style="2" customWidth="1"/>
    <col min="2563" max="2563" width="5.85546875" style="2" customWidth="1"/>
    <col min="2564" max="2564" width="18" style="2" customWidth="1"/>
    <col min="2565" max="2568" width="5.85546875" style="2" customWidth="1"/>
    <col min="2569" max="2580" width="7.42578125" style="2" customWidth="1"/>
    <col min="2581" max="2582" width="8" style="2" customWidth="1"/>
    <col min="2583" max="2816" width="9.140625" style="2"/>
    <col min="2817" max="2818" width="3.28515625" style="2" customWidth="1"/>
    <col min="2819" max="2819" width="5.85546875" style="2" customWidth="1"/>
    <col min="2820" max="2820" width="18" style="2" customWidth="1"/>
    <col min="2821" max="2824" width="5.85546875" style="2" customWidth="1"/>
    <col min="2825" max="2836" width="7.42578125" style="2" customWidth="1"/>
    <col min="2837" max="2838" width="8" style="2" customWidth="1"/>
    <col min="2839" max="3072" width="9.140625" style="2"/>
    <col min="3073" max="3074" width="3.28515625" style="2" customWidth="1"/>
    <col min="3075" max="3075" width="5.85546875" style="2" customWidth="1"/>
    <col min="3076" max="3076" width="18" style="2" customWidth="1"/>
    <col min="3077" max="3080" width="5.85546875" style="2" customWidth="1"/>
    <col min="3081" max="3092" width="7.42578125" style="2" customWidth="1"/>
    <col min="3093" max="3094" width="8" style="2" customWidth="1"/>
    <col min="3095" max="3328" width="9.140625" style="2"/>
    <col min="3329" max="3330" width="3.28515625" style="2" customWidth="1"/>
    <col min="3331" max="3331" width="5.85546875" style="2" customWidth="1"/>
    <col min="3332" max="3332" width="18" style="2" customWidth="1"/>
    <col min="3333" max="3336" width="5.85546875" style="2" customWidth="1"/>
    <col min="3337" max="3348" width="7.42578125" style="2" customWidth="1"/>
    <col min="3349" max="3350" width="8" style="2" customWidth="1"/>
    <col min="3351" max="3584" width="9.140625" style="2"/>
    <col min="3585" max="3586" width="3.28515625" style="2" customWidth="1"/>
    <col min="3587" max="3587" width="5.85546875" style="2" customWidth="1"/>
    <col min="3588" max="3588" width="18" style="2" customWidth="1"/>
    <col min="3589" max="3592" width="5.85546875" style="2" customWidth="1"/>
    <col min="3593" max="3604" width="7.42578125" style="2" customWidth="1"/>
    <col min="3605" max="3606" width="8" style="2" customWidth="1"/>
    <col min="3607" max="3840" width="9.140625" style="2"/>
    <col min="3841" max="3842" width="3.28515625" style="2" customWidth="1"/>
    <col min="3843" max="3843" width="5.85546875" style="2" customWidth="1"/>
    <col min="3844" max="3844" width="18" style="2" customWidth="1"/>
    <col min="3845" max="3848" width="5.85546875" style="2" customWidth="1"/>
    <col min="3849" max="3860" width="7.42578125" style="2" customWidth="1"/>
    <col min="3861" max="3862" width="8" style="2" customWidth="1"/>
    <col min="3863" max="4096" width="9.140625" style="2"/>
    <col min="4097" max="4098" width="3.28515625" style="2" customWidth="1"/>
    <col min="4099" max="4099" width="5.85546875" style="2" customWidth="1"/>
    <col min="4100" max="4100" width="18" style="2" customWidth="1"/>
    <col min="4101" max="4104" width="5.85546875" style="2" customWidth="1"/>
    <col min="4105" max="4116" width="7.42578125" style="2" customWidth="1"/>
    <col min="4117" max="4118" width="8" style="2" customWidth="1"/>
    <col min="4119" max="4352" width="9.140625" style="2"/>
    <col min="4353" max="4354" width="3.28515625" style="2" customWidth="1"/>
    <col min="4355" max="4355" width="5.85546875" style="2" customWidth="1"/>
    <col min="4356" max="4356" width="18" style="2" customWidth="1"/>
    <col min="4357" max="4360" width="5.85546875" style="2" customWidth="1"/>
    <col min="4361" max="4372" width="7.42578125" style="2" customWidth="1"/>
    <col min="4373" max="4374" width="8" style="2" customWidth="1"/>
    <col min="4375" max="4608" width="9.140625" style="2"/>
    <col min="4609" max="4610" width="3.28515625" style="2" customWidth="1"/>
    <col min="4611" max="4611" width="5.85546875" style="2" customWidth="1"/>
    <col min="4612" max="4612" width="18" style="2" customWidth="1"/>
    <col min="4613" max="4616" width="5.85546875" style="2" customWidth="1"/>
    <col min="4617" max="4628" width="7.42578125" style="2" customWidth="1"/>
    <col min="4629" max="4630" width="8" style="2" customWidth="1"/>
    <col min="4631" max="4864" width="9.140625" style="2"/>
    <col min="4865" max="4866" width="3.28515625" style="2" customWidth="1"/>
    <col min="4867" max="4867" width="5.85546875" style="2" customWidth="1"/>
    <col min="4868" max="4868" width="18" style="2" customWidth="1"/>
    <col min="4869" max="4872" width="5.85546875" style="2" customWidth="1"/>
    <col min="4873" max="4884" width="7.42578125" style="2" customWidth="1"/>
    <col min="4885" max="4886" width="8" style="2" customWidth="1"/>
    <col min="4887" max="5120" width="9.140625" style="2"/>
    <col min="5121" max="5122" width="3.28515625" style="2" customWidth="1"/>
    <col min="5123" max="5123" width="5.85546875" style="2" customWidth="1"/>
    <col min="5124" max="5124" width="18" style="2" customWidth="1"/>
    <col min="5125" max="5128" width="5.85546875" style="2" customWidth="1"/>
    <col min="5129" max="5140" width="7.42578125" style="2" customWidth="1"/>
    <col min="5141" max="5142" width="8" style="2" customWidth="1"/>
    <col min="5143" max="5376" width="9.140625" style="2"/>
    <col min="5377" max="5378" width="3.28515625" style="2" customWidth="1"/>
    <col min="5379" max="5379" width="5.85546875" style="2" customWidth="1"/>
    <col min="5380" max="5380" width="18" style="2" customWidth="1"/>
    <col min="5381" max="5384" width="5.85546875" style="2" customWidth="1"/>
    <col min="5385" max="5396" width="7.42578125" style="2" customWidth="1"/>
    <col min="5397" max="5398" width="8" style="2" customWidth="1"/>
    <col min="5399" max="5632" width="9.140625" style="2"/>
    <col min="5633" max="5634" width="3.28515625" style="2" customWidth="1"/>
    <col min="5635" max="5635" width="5.85546875" style="2" customWidth="1"/>
    <col min="5636" max="5636" width="18" style="2" customWidth="1"/>
    <col min="5637" max="5640" width="5.85546875" style="2" customWidth="1"/>
    <col min="5641" max="5652" width="7.42578125" style="2" customWidth="1"/>
    <col min="5653" max="5654" width="8" style="2" customWidth="1"/>
    <col min="5655" max="5888" width="9.140625" style="2"/>
    <col min="5889" max="5890" width="3.28515625" style="2" customWidth="1"/>
    <col min="5891" max="5891" width="5.85546875" style="2" customWidth="1"/>
    <col min="5892" max="5892" width="18" style="2" customWidth="1"/>
    <col min="5893" max="5896" width="5.85546875" style="2" customWidth="1"/>
    <col min="5897" max="5908" width="7.42578125" style="2" customWidth="1"/>
    <col min="5909" max="5910" width="8" style="2" customWidth="1"/>
    <col min="5911" max="6144" width="9.140625" style="2"/>
    <col min="6145" max="6146" width="3.28515625" style="2" customWidth="1"/>
    <col min="6147" max="6147" width="5.85546875" style="2" customWidth="1"/>
    <col min="6148" max="6148" width="18" style="2" customWidth="1"/>
    <col min="6149" max="6152" width="5.85546875" style="2" customWidth="1"/>
    <col min="6153" max="6164" width="7.42578125" style="2" customWidth="1"/>
    <col min="6165" max="6166" width="8" style="2" customWidth="1"/>
    <col min="6167" max="6400" width="9.140625" style="2"/>
    <col min="6401" max="6402" width="3.28515625" style="2" customWidth="1"/>
    <col min="6403" max="6403" width="5.85546875" style="2" customWidth="1"/>
    <col min="6404" max="6404" width="18" style="2" customWidth="1"/>
    <col min="6405" max="6408" width="5.85546875" style="2" customWidth="1"/>
    <col min="6409" max="6420" width="7.42578125" style="2" customWidth="1"/>
    <col min="6421" max="6422" width="8" style="2" customWidth="1"/>
    <col min="6423" max="6656" width="9.140625" style="2"/>
    <col min="6657" max="6658" width="3.28515625" style="2" customWidth="1"/>
    <col min="6659" max="6659" width="5.85546875" style="2" customWidth="1"/>
    <col min="6660" max="6660" width="18" style="2" customWidth="1"/>
    <col min="6661" max="6664" width="5.85546875" style="2" customWidth="1"/>
    <col min="6665" max="6676" width="7.42578125" style="2" customWidth="1"/>
    <col min="6677" max="6678" width="8" style="2" customWidth="1"/>
    <col min="6679" max="6912" width="9.140625" style="2"/>
    <col min="6913" max="6914" width="3.28515625" style="2" customWidth="1"/>
    <col min="6915" max="6915" width="5.85546875" style="2" customWidth="1"/>
    <col min="6916" max="6916" width="18" style="2" customWidth="1"/>
    <col min="6917" max="6920" width="5.85546875" style="2" customWidth="1"/>
    <col min="6921" max="6932" width="7.42578125" style="2" customWidth="1"/>
    <col min="6933" max="6934" width="8" style="2" customWidth="1"/>
    <col min="6935" max="7168" width="9.140625" style="2"/>
    <col min="7169" max="7170" width="3.28515625" style="2" customWidth="1"/>
    <col min="7171" max="7171" width="5.85546875" style="2" customWidth="1"/>
    <col min="7172" max="7172" width="18" style="2" customWidth="1"/>
    <col min="7173" max="7176" width="5.85546875" style="2" customWidth="1"/>
    <col min="7177" max="7188" width="7.42578125" style="2" customWidth="1"/>
    <col min="7189" max="7190" width="8" style="2" customWidth="1"/>
    <col min="7191" max="7424" width="9.140625" style="2"/>
    <col min="7425" max="7426" width="3.28515625" style="2" customWidth="1"/>
    <col min="7427" max="7427" width="5.85546875" style="2" customWidth="1"/>
    <col min="7428" max="7428" width="18" style="2" customWidth="1"/>
    <col min="7429" max="7432" width="5.85546875" style="2" customWidth="1"/>
    <col min="7433" max="7444" width="7.42578125" style="2" customWidth="1"/>
    <col min="7445" max="7446" width="8" style="2" customWidth="1"/>
    <col min="7447" max="7680" width="9.140625" style="2"/>
    <col min="7681" max="7682" width="3.28515625" style="2" customWidth="1"/>
    <col min="7683" max="7683" width="5.85546875" style="2" customWidth="1"/>
    <col min="7684" max="7684" width="18" style="2" customWidth="1"/>
    <col min="7685" max="7688" width="5.85546875" style="2" customWidth="1"/>
    <col min="7689" max="7700" width="7.42578125" style="2" customWidth="1"/>
    <col min="7701" max="7702" width="8" style="2" customWidth="1"/>
    <col min="7703" max="7936" width="9.140625" style="2"/>
    <col min="7937" max="7938" width="3.28515625" style="2" customWidth="1"/>
    <col min="7939" max="7939" width="5.85546875" style="2" customWidth="1"/>
    <col min="7940" max="7940" width="18" style="2" customWidth="1"/>
    <col min="7941" max="7944" width="5.85546875" style="2" customWidth="1"/>
    <col min="7945" max="7956" width="7.42578125" style="2" customWidth="1"/>
    <col min="7957" max="7958" width="8" style="2" customWidth="1"/>
    <col min="7959" max="8192" width="9.140625" style="2"/>
    <col min="8193" max="8194" width="3.28515625" style="2" customWidth="1"/>
    <col min="8195" max="8195" width="5.85546875" style="2" customWidth="1"/>
    <col min="8196" max="8196" width="18" style="2" customWidth="1"/>
    <col min="8197" max="8200" width="5.85546875" style="2" customWidth="1"/>
    <col min="8201" max="8212" width="7.42578125" style="2" customWidth="1"/>
    <col min="8213" max="8214" width="8" style="2" customWidth="1"/>
    <col min="8215" max="8448" width="9.140625" style="2"/>
    <col min="8449" max="8450" width="3.28515625" style="2" customWidth="1"/>
    <col min="8451" max="8451" width="5.85546875" style="2" customWidth="1"/>
    <col min="8452" max="8452" width="18" style="2" customWidth="1"/>
    <col min="8453" max="8456" width="5.85546875" style="2" customWidth="1"/>
    <col min="8457" max="8468" width="7.42578125" style="2" customWidth="1"/>
    <col min="8469" max="8470" width="8" style="2" customWidth="1"/>
    <col min="8471" max="8704" width="9.140625" style="2"/>
    <col min="8705" max="8706" width="3.28515625" style="2" customWidth="1"/>
    <col min="8707" max="8707" width="5.85546875" style="2" customWidth="1"/>
    <col min="8708" max="8708" width="18" style="2" customWidth="1"/>
    <col min="8709" max="8712" width="5.85546875" style="2" customWidth="1"/>
    <col min="8713" max="8724" width="7.42578125" style="2" customWidth="1"/>
    <col min="8725" max="8726" width="8" style="2" customWidth="1"/>
    <col min="8727" max="8960" width="9.140625" style="2"/>
    <col min="8961" max="8962" width="3.28515625" style="2" customWidth="1"/>
    <col min="8963" max="8963" width="5.85546875" style="2" customWidth="1"/>
    <col min="8964" max="8964" width="18" style="2" customWidth="1"/>
    <col min="8965" max="8968" width="5.85546875" style="2" customWidth="1"/>
    <col min="8969" max="8980" width="7.42578125" style="2" customWidth="1"/>
    <col min="8981" max="8982" width="8" style="2" customWidth="1"/>
    <col min="8983" max="9216" width="9.140625" style="2"/>
    <col min="9217" max="9218" width="3.28515625" style="2" customWidth="1"/>
    <col min="9219" max="9219" width="5.85546875" style="2" customWidth="1"/>
    <col min="9220" max="9220" width="18" style="2" customWidth="1"/>
    <col min="9221" max="9224" width="5.85546875" style="2" customWidth="1"/>
    <col min="9225" max="9236" width="7.42578125" style="2" customWidth="1"/>
    <col min="9237" max="9238" width="8" style="2" customWidth="1"/>
    <col min="9239" max="9472" width="9.140625" style="2"/>
    <col min="9473" max="9474" width="3.28515625" style="2" customWidth="1"/>
    <col min="9475" max="9475" width="5.85546875" style="2" customWidth="1"/>
    <col min="9476" max="9476" width="18" style="2" customWidth="1"/>
    <col min="9477" max="9480" width="5.85546875" style="2" customWidth="1"/>
    <col min="9481" max="9492" width="7.42578125" style="2" customWidth="1"/>
    <col min="9493" max="9494" width="8" style="2" customWidth="1"/>
    <col min="9495" max="9728" width="9.140625" style="2"/>
    <col min="9729" max="9730" width="3.28515625" style="2" customWidth="1"/>
    <col min="9731" max="9731" width="5.85546875" style="2" customWidth="1"/>
    <col min="9732" max="9732" width="18" style="2" customWidth="1"/>
    <col min="9733" max="9736" width="5.85546875" style="2" customWidth="1"/>
    <col min="9737" max="9748" width="7.42578125" style="2" customWidth="1"/>
    <col min="9749" max="9750" width="8" style="2" customWidth="1"/>
    <col min="9751" max="9984" width="9.140625" style="2"/>
    <col min="9985" max="9986" width="3.28515625" style="2" customWidth="1"/>
    <col min="9987" max="9987" width="5.85546875" style="2" customWidth="1"/>
    <col min="9988" max="9988" width="18" style="2" customWidth="1"/>
    <col min="9989" max="9992" width="5.85546875" style="2" customWidth="1"/>
    <col min="9993" max="10004" width="7.42578125" style="2" customWidth="1"/>
    <col min="10005" max="10006" width="8" style="2" customWidth="1"/>
    <col min="10007" max="10240" width="9.140625" style="2"/>
    <col min="10241" max="10242" width="3.28515625" style="2" customWidth="1"/>
    <col min="10243" max="10243" width="5.85546875" style="2" customWidth="1"/>
    <col min="10244" max="10244" width="18" style="2" customWidth="1"/>
    <col min="10245" max="10248" width="5.85546875" style="2" customWidth="1"/>
    <col min="10249" max="10260" width="7.42578125" style="2" customWidth="1"/>
    <col min="10261" max="10262" width="8" style="2" customWidth="1"/>
    <col min="10263" max="10496" width="9.140625" style="2"/>
    <col min="10497" max="10498" width="3.28515625" style="2" customWidth="1"/>
    <col min="10499" max="10499" width="5.85546875" style="2" customWidth="1"/>
    <col min="10500" max="10500" width="18" style="2" customWidth="1"/>
    <col min="10501" max="10504" width="5.85546875" style="2" customWidth="1"/>
    <col min="10505" max="10516" width="7.42578125" style="2" customWidth="1"/>
    <col min="10517" max="10518" width="8" style="2" customWidth="1"/>
    <col min="10519" max="10752" width="9.140625" style="2"/>
    <col min="10753" max="10754" width="3.28515625" style="2" customWidth="1"/>
    <col min="10755" max="10755" width="5.85546875" style="2" customWidth="1"/>
    <col min="10756" max="10756" width="18" style="2" customWidth="1"/>
    <col min="10757" max="10760" width="5.85546875" style="2" customWidth="1"/>
    <col min="10761" max="10772" width="7.42578125" style="2" customWidth="1"/>
    <col min="10773" max="10774" width="8" style="2" customWidth="1"/>
    <col min="10775" max="11008" width="9.140625" style="2"/>
    <col min="11009" max="11010" width="3.28515625" style="2" customWidth="1"/>
    <col min="11011" max="11011" width="5.85546875" style="2" customWidth="1"/>
    <col min="11012" max="11012" width="18" style="2" customWidth="1"/>
    <col min="11013" max="11016" width="5.85546875" style="2" customWidth="1"/>
    <col min="11017" max="11028" width="7.42578125" style="2" customWidth="1"/>
    <col min="11029" max="11030" width="8" style="2" customWidth="1"/>
    <col min="11031" max="11264" width="9.140625" style="2"/>
    <col min="11265" max="11266" width="3.28515625" style="2" customWidth="1"/>
    <col min="11267" max="11267" width="5.85546875" style="2" customWidth="1"/>
    <col min="11268" max="11268" width="18" style="2" customWidth="1"/>
    <col min="11269" max="11272" width="5.85546875" style="2" customWidth="1"/>
    <col min="11273" max="11284" width="7.42578125" style="2" customWidth="1"/>
    <col min="11285" max="11286" width="8" style="2" customWidth="1"/>
    <col min="11287" max="11520" width="9.140625" style="2"/>
    <col min="11521" max="11522" width="3.28515625" style="2" customWidth="1"/>
    <col min="11523" max="11523" width="5.85546875" style="2" customWidth="1"/>
    <col min="11524" max="11524" width="18" style="2" customWidth="1"/>
    <col min="11525" max="11528" width="5.85546875" style="2" customWidth="1"/>
    <col min="11529" max="11540" width="7.42578125" style="2" customWidth="1"/>
    <col min="11541" max="11542" width="8" style="2" customWidth="1"/>
    <col min="11543" max="11776" width="9.140625" style="2"/>
    <col min="11777" max="11778" width="3.28515625" style="2" customWidth="1"/>
    <col min="11779" max="11779" width="5.85546875" style="2" customWidth="1"/>
    <col min="11780" max="11780" width="18" style="2" customWidth="1"/>
    <col min="11781" max="11784" width="5.85546875" style="2" customWidth="1"/>
    <col min="11785" max="11796" width="7.42578125" style="2" customWidth="1"/>
    <col min="11797" max="11798" width="8" style="2" customWidth="1"/>
    <col min="11799" max="12032" width="9.140625" style="2"/>
    <col min="12033" max="12034" width="3.28515625" style="2" customWidth="1"/>
    <col min="12035" max="12035" width="5.85546875" style="2" customWidth="1"/>
    <col min="12036" max="12036" width="18" style="2" customWidth="1"/>
    <col min="12037" max="12040" width="5.85546875" style="2" customWidth="1"/>
    <col min="12041" max="12052" width="7.42578125" style="2" customWidth="1"/>
    <col min="12053" max="12054" width="8" style="2" customWidth="1"/>
    <col min="12055" max="12288" width="9.140625" style="2"/>
    <col min="12289" max="12290" width="3.28515625" style="2" customWidth="1"/>
    <col min="12291" max="12291" width="5.85546875" style="2" customWidth="1"/>
    <col min="12292" max="12292" width="18" style="2" customWidth="1"/>
    <col min="12293" max="12296" width="5.85546875" style="2" customWidth="1"/>
    <col min="12297" max="12308" width="7.42578125" style="2" customWidth="1"/>
    <col min="12309" max="12310" width="8" style="2" customWidth="1"/>
    <col min="12311" max="12544" width="9.140625" style="2"/>
    <col min="12545" max="12546" width="3.28515625" style="2" customWidth="1"/>
    <col min="12547" max="12547" width="5.85546875" style="2" customWidth="1"/>
    <col min="12548" max="12548" width="18" style="2" customWidth="1"/>
    <col min="12549" max="12552" width="5.85546875" style="2" customWidth="1"/>
    <col min="12553" max="12564" width="7.42578125" style="2" customWidth="1"/>
    <col min="12565" max="12566" width="8" style="2" customWidth="1"/>
    <col min="12567" max="12800" width="9.140625" style="2"/>
    <col min="12801" max="12802" width="3.28515625" style="2" customWidth="1"/>
    <col min="12803" max="12803" width="5.85546875" style="2" customWidth="1"/>
    <col min="12804" max="12804" width="18" style="2" customWidth="1"/>
    <col min="12805" max="12808" width="5.85546875" style="2" customWidth="1"/>
    <col min="12809" max="12820" width="7.42578125" style="2" customWidth="1"/>
    <col min="12821" max="12822" width="8" style="2" customWidth="1"/>
    <col min="12823" max="13056" width="9.140625" style="2"/>
    <col min="13057" max="13058" width="3.28515625" style="2" customWidth="1"/>
    <col min="13059" max="13059" width="5.85546875" style="2" customWidth="1"/>
    <col min="13060" max="13060" width="18" style="2" customWidth="1"/>
    <col min="13061" max="13064" width="5.85546875" style="2" customWidth="1"/>
    <col min="13065" max="13076" width="7.42578125" style="2" customWidth="1"/>
    <col min="13077" max="13078" width="8" style="2" customWidth="1"/>
    <col min="13079" max="13312" width="9.140625" style="2"/>
    <col min="13313" max="13314" width="3.28515625" style="2" customWidth="1"/>
    <col min="13315" max="13315" width="5.85546875" style="2" customWidth="1"/>
    <col min="13316" max="13316" width="18" style="2" customWidth="1"/>
    <col min="13317" max="13320" width="5.85546875" style="2" customWidth="1"/>
    <col min="13321" max="13332" width="7.42578125" style="2" customWidth="1"/>
    <col min="13333" max="13334" width="8" style="2" customWidth="1"/>
    <col min="13335" max="13568" width="9.140625" style="2"/>
    <col min="13569" max="13570" width="3.28515625" style="2" customWidth="1"/>
    <col min="13571" max="13571" width="5.85546875" style="2" customWidth="1"/>
    <col min="13572" max="13572" width="18" style="2" customWidth="1"/>
    <col min="13573" max="13576" width="5.85546875" style="2" customWidth="1"/>
    <col min="13577" max="13588" width="7.42578125" style="2" customWidth="1"/>
    <col min="13589" max="13590" width="8" style="2" customWidth="1"/>
    <col min="13591" max="13824" width="9.140625" style="2"/>
    <col min="13825" max="13826" width="3.28515625" style="2" customWidth="1"/>
    <col min="13827" max="13827" width="5.85546875" style="2" customWidth="1"/>
    <col min="13828" max="13828" width="18" style="2" customWidth="1"/>
    <col min="13829" max="13832" width="5.85546875" style="2" customWidth="1"/>
    <col min="13833" max="13844" width="7.42578125" style="2" customWidth="1"/>
    <col min="13845" max="13846" width="8" style="2" customWidth="1"/>
    <col min="13847" max="14080" width="9.140625" style="2"/>
    <col min="14081" max="14082" width="3.28515625" style="2" customWidth="1"/>
    <col min="14083" max="14083" width="5.85546875" style="2" customWidth="1"/>
    <col min="14084" max="14084" width="18" style="2" customWidth="1"/>
    <col min="14085" max="14088" width="5.85546875" style="2" customWidth="1"/>
    <col min="14089" max="14100" width="7.42578125" style="2" customWidth="1"/>
    <col min="14101" max="14102" width="8" style="2" customWidth="1"/>
    <col min="14103" max="14336" width="9.140625" style="2"/>
    <col min="14337" max="14338" width="3.28515625" style="2" customWidth="1"/>
    <col min="14339" max="14339" width="5.85546875" style="2" customWidth="1"/>
    <col min="14340" max="14340" width="18" style="2" customWidth="1"/>
    <col min="14341" max="14344" width="5.85546875" style="2" customWidth="1"/>
    <col min="14345" max="14356" width="7.42578125" style="2" customWidth="1"/>
    <col min="14357" max="14358" width="8" style="2" customWidth="1"/>
    <col min="14359" max="14592" width="9.140625" style="2"/>
    <col min="14593" max="14594" width="3.28515625" style="2" customWidth="1"/>
    <col min="14595" max="14595" width="5.85546875" style="2" customWidth="1"/>
    <col min="14596" max="14596" width="18" style="2" customWidth="1"/>
    <col min="14597" max="14600" width="5.85546875" style="2" customWidth="1"/>
    <col min="14601" max="14612" width="7.42578125" style="2" customWidth="1"/>
    <col min="14613" max="14614" width="8" style="2" customWidth="1"/>
    <col min="14615" max="14848" width="9.140625" style="2"/>
    <col min="14849" max="14850" width="3.28515625" style="2" customWidth="1"/>
    <col min="14851" max="14851" width="5.85546875" style="2" customWidth="1"/>
    <col min="14852" max="14852" width="18" style="2" customWidth="1"/>
    <col min="14853" max="14856" width="5.85546875" style="2" customWidth="1"/>
    <col min="14857" max="14868" width="7.42578125" style="2" customWidth="1"/>
    <col min="14869" max="14870" width="8" style="2" customWidth="1"/>
    <col min="14871" max="15104" width="9.140625" style="2"/>
    <col min="15105" max="15106" width="3.28515625" style="2" customWidth="1"/>
    <col min="15107" max="15107" width="5.85546875" style="2" customWidth="1"/>
    <col min="15108" max="15108" width="18" style="2" customWidth="1"/>
    <col min="15109" max="15112" width="5.85546875" style="2" customWidth="1"/>
    <col min="15113" max="15124" width="7.42578125" style="2" customWidth="1"/>
    <col min="15125" max="15126" width="8" style="2" customWidth="1"/>
    <col min="15127" max="15360" width="9.140625" style="2"/>
    <col min="15361" max="15362" width="3.28515625" style="2" customWidth="1"/>
    <col min="15363" max="15363" width="5.85546875" style="2" customWidth="1"/>
    <col min="15364" max="15364" width="18" style="2" customWidth="1"/>
    <col min="15365" max="15368" width="5.85546875" style="2" customWidth="1"/>
    <col min="15369" max="15380" width="7.42578125" style="2" customWidth="1"/>
    <col min="15381" max="15382" width="8" style="2" customWidth="1"/>
    <col min="15383" max="15616" width="9.140625" style="2"/>
    <col min="15617" max="15618" width="3.28515625" style="2" customWidth="1"/>
    <col min="15619" max="15619" width="5.85546875" style="2" customWidth="1"/>
    <col min="15620" max="15620" width="18" style="2" customWidth="1"/>
    <col min="15621" max="15624" width="5.85546875" style="2" customWidth="1"/>
    <col min="15625" max="15636" width="7.42578125" style="2" customWidth="1"/>
    <col min="15637" max="15638" width="8" style="2" customWidth="1"/>
    <col min="15639" max="15872" width="9.140625" style="2"/>
    <col min="15873" max="15874" width="3.28515625" style="2" customWidth="1"/>
    <col min="15875" max="15875" width="5.85546875" style="2" customWidth="1"/>
    <col min="15876" max="15876" width="18" style="2" customWidth="1"/>
    <col min="15877" max="15880" width="5.85546875" style="2" customWidth="1"/>
    <col min="15881" max="15892" width="7.42578125" style="2" customWidth="1"/>
    <col min="15893" max="15894" width="8" style="2" customWidth="1"/>
    <col min="15895" max="16128" width="9.140625" style="2"/>
    <col min="16129" max="16130" width="3.28515625" style="2" customWidth="1"/>
    <col min="16131" max="16131" width="5.85546875" style="2" customWidth="1"/>
    <col min="16132" max="16132" width="18" style="2" customWidth="1"/>
    <col min="16133" max="16136" width="5.85546875" style="2" customWidth="1"/>
    <col min="16137" max="16148" width="7.42578125" style="2" customWidth="1"/>
    <col min="16149" max="16150" width="8" style="2" customWidth="1"/>
    <col min="16151" max="16384" width="9.140625" style="2"/>
  </cols>
  <sheetData>
    <row r="1" spans="1:80" ht="16.5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 t="s">
        <v>34</v>
      </c>
    </row>
    <row r="2" spans="1:80" ht="16.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 t="s">
        <v>35</v>
      </c>
    </row>
    <row r="3" spans="1:80" ht="16.5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 t="s">
        <v>36</v>
      </c>
    </row>
    <row r="4" spans="1:80" ht="37.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8"/>
    </row>
    <row r="5" spans="1:80" ht="16.5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8"/>
    </row>
    <row r="6" spans="1:80" ht="73.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8"/>
    </row>
    <row r="7" spans="1:80" ht="16.5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016" t="s">
        <v>29</v>
      </c>
      <c r="R7" s="1016"/>
      <c r="S7" s="1016"/>
      <c r="T7" s="1016"/>
    </row>
    <row r="8" spans="1:80" ht="16.5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017" t="s">
        <v>1</v>
      </c>
      <c r="R8" s="1017"/>
      <c r="S8" s="1017"/>
      <c r="T8" s="1017"/>
    </row>
    <row r="9" spans="1:80" ht="16.5" customHeight="1" x14ac:dyDescent="0.25">
      <c r="A9" s="1018" t="s">
        <v>88</v>
      </c>
      <c r="B9" s="1018"/>
      <c r="C9" s="1018"/>
      <c r="D9" s="1018"/>
      <c r="E9" s="1018"/>
      <c r="F9" s="1018"/>
      <c r="G9" s="1018"/>
      <c r="H9" s="1018"/>
      <c r="I9" s="1018"/>
      <c r="J9" s="1018"/>
      <c r="K9" s="1018"/>
      <c r="L9" s="1018"/>
      <c r="M9" s="1018"/>
      <c r="N9" s="1018"/>
      <c r="O9" s="1018"/>
      <c r="P9" s="1018"/>
      <c r="Q9" s="1018"/>
      <c r="R9" s="1018"/>
      <c r="S9" s="1018"/>
      <c r="T9" s="1018"/>
      <c r="U9" s="1"/>
    </row>
    <row r="10" spans="1:80" ht="15.75" thickBot="1" x14ac:dyDescent="0.3">
      <c r="A10" s="1019"/>
      <c r="B10" s="1019"/>
      <c r="C10" s="1019"/>
      <c r="D10" s="1019"/>
      <c r="E10" s="1019"/>
      <c r="F10" s="1019"/>
      <c r="G10" s="1019"/>
      <c r="H10" s="1019"/>
      <c r="I10" s="1019"/>
      <c r="J10" s="1019"/>
      <c r="K10" s="1019"/>
      <c r="L10" s="1019"/>
      <c r="M10" s="1019"/>
      <c r="N10" s="1019"/>
      <c r="O10" s="1019"/>
      <c r="P10" s="1019"/>
      <c r="Q10" s="1019"/>
      <c r="R10" s="1019"/>
      <c r="S10" s="1019"/>
      <c r="T10" s="1019"/>
      <c r="U10" s="1"/>
    </row>
    <row r="11" spans="1:80" ht="19.5" customHeight="1" thickBot="1" x14ac:dyDescent="0.25">
      <c r="A11" s="1020" t="s">
        <v>2</v>
      </c>
      <c r="B11" s="1021"/>
      <c r="C11" s="1021"/>
      <c r="D11" s="1021"/>
      <c r="E11" s="1021"/>
      <c r="F11" s="1021"/>
      <c r="G11" s="1021"/>
      <c r="H11" s="1022"/>
      <c r="I11" s="1001" t="s">
        <v>3</v>
      </c>
      <c r="J11" s="1002"/>
      <c r="K11" s="1003"/>
      <c r="L11" s="1001" t="s">
        <v>4</v>
      </c>
      <c r="M11" s="1002"/>
      <c r="N11" s="1003"/>
      <c r="O11" s="1001" t="s">
        <v>102</v>
      </c>
      <c r="P11" s="1002"/>
      <c r="Q11" s="1003"/>
      <c r="R11" s="1001" t="s">
        <v>103</v>
      </c>
      <c r="S11" s="1002"/>
      <c r="T11" s="1003"/>
      <c r="U11" s="1001" t="s">
        <v>104</v>
      </c>
      <c r="V11" s="1002"/>
      <c r="W11" s="1003"/>
      <c r="X11" s="1001" t="s">
        <v>105</v>
      </c>
      <c r="Y11" s="1002"/>
      <c r="Z11" s="1003"/>
      <c r="AA11" s="1001" t="s">
        <v>106</v>
      </c>
      <c r="AB11" s="1002"/>
      <c r="AC11" s="1003"/>
      <c r="AD11" s="1001" t="s">
        <v>108</v>
      </c>
      <c r="AE11" s="1002"/>
      <c r="AF11" s="1003"/>
      <c r="AG11" s="1001" t="s">
        <v>107</v>
      </c>
      <c r="AH11" s="1002"/>
      <c r="AI11" s="1003"/>
      <c r="AJ11" s="1001" t="s">
        <v>109</v>
      </c>
      <c r="AK11" s="1002"/>
      <c r="AL11" s="1003"/>
      <c r="AM11" s="1001" t="s">
        <v>110</v>
      </c>
      <c r="AN11" s="1002"/>
      <c r="AO11" s="1003"/>
      <c r="AP11" s="1001" t="s">
        <v>111</v>
      </c>
      <c r="AQ11" s="1002"/>
      <c r="AR11" s="1003"/>
      <c r="AS11" s="1001" t="s">
        <v>112</v>
      </c>
      <c r="AT11" s="1002"/>
      <c r="AU11" s="1003"/>
      <c r="AV11" s="1001" t="s">
        <v>113</v>
      </c>
      <c r="AW11" s="1002"/>
      <c r="AX11" s="1003"/>
      <c r="AY11" s="1001" t="s">
        <v>114</v>
      </c>
      <c r="AZ11" s="1002"/>
      <c r="BA11" s="1003"/>
      <c r="BB11" s="1001" t="s">
        <v>115</v>
      </c>
      <c r="BC11" s="1002"/>
      <c r="BD11" s="1003"/>
      <c r="BE11" s="1001" t="s">
        <v>116</v>
      </c>
      <c r="BF11" s="1002"/>
      <c r="BG11" s="1003"/>
      <c r="BH11" s="1001" t="s">
        <v>117</v>
      </c>
      <c r="BI11" s="1002"/>
      <c r="BJ11" s="1003"/>
      <c r="BK11" s="1001" t="s">
        <v>118</v>
      </c>
      <c r="BL11" s="1002"/>
      <c r="BM11" s="1003"/>
      <c r="BN11" s="1001" t="s">
        <v>119</v>
      </c>
      <c r="BO11" s="1002"/>
      <c r="BP11" s="1003"/>
      <c r="BQ11" s="1001" t="s">
        <v>120</v>
      </c>
      <c r="BR11" s="1002"/>
      <c r="BS11" s="1003"/>
      <c r="BT11" s="1001" t="s">
        <v>121</v>
      </c>
      <c r="BU11" s="1002"/>
      <c r="BV11" s="1003"/>
      <c r="BW11" s="1001" t="s">
        <v>122</v>
      </c>
      <c r="BX11" s="1002"/>
      <c r="BY11" s="1003"/>
      <c r="BZ11" s="1001" t="s">
        <v>5</v>
      </c>
      <c r="CA11" s="1002"/>
      <c r="CB11" s="1003"/>
    </row>
    <row r="12" spans="1:80" ht="12.75" customHeight="1" x14ac:dyDescent="0.2">
      <c r="A12" s="1040" t="s">
        <v>6</v>
      </c>
      <c r="B12" s="1041"/>
      <c r="C12" s="1042"/>
      <c r="D12" s="1046" t="s">
        <v>7</v>
      </c>
      <c r="E12" s="1040" t="s">
        <v>8</v>
      </c>
      <c r="F12" s="1041"/>
      <c r="G12" s="1041"/>
      <c r="H12" s="1042"/>
      <c r="I12" s="1004" t="s">
        <v>9</v>
      </c>
      <c r="J12" s="1006" t="s">
        <v>10</v>
      </c>
      <c r="K12" s="1006" t="s">
        <v>11</v>
      </c>
      <c r="L12" s="1004" t="s">
        <v>9</v>
      </c>
      <c r="M12" s="1006" t="s">
        <v>10</v>
      </c>
      <c r="N12" s="1006" t="s">
        <v>11</v>
      </c>
      <c r="O12" s="1004" t="s">
        <v>9</v>
      </c>
      <c r="P12" s="1006" t="s">
        <v>10</v>
      </c>
      <c r="Q12" s="1008" t="s">
        <v>11</v>
      </c>
      <c r="R12" s="1004" t="s">
        <v>9</v>
      </c>
      <c r="S12" s="1006" t="s">
        <v>10</v>
      </c>
      <c r="T12" s="1008" t="s">
        <v>11</v>
      </c>
      <c r="U12" s="1004" t="s">
        <v>9</v>
      </c>
      <c r="V12" s="1006" t="s">
        <v>10</v>
      </c>
      <c r="W12" s="1006" t="s">
        <v>11</v>
      </c>
      <c r="X12" s="1004" t="s">
        <v>9</v>
      </c>
      <c r="Y12" s="1006" t="s">
        <v>10</v>
      </c>
      <c r="Z12" s="1006" t="s">
        <v>11</v>
      </c>
      <c r="AA12" s="1004" t="s">
        <v>9</v>
      </c>
      <c r="AB12" s="1006" t="s">
        <v>10</v>
      </c>
      <c r="AC12" s="1008" t="s">
        <v>11</v>
      </c>
      <c r="AD12" s="1004" t="s">
        <v>9</v>
      </c>
      <c r="AE12" s="1006" t="s">
        <v>10</v>
      </c>
      <c r="AF12" s="1008" t="s">
        <v>11</v>
      </c>
      <c r="AG12" s="1004" t="s">
        <v>9</v>
      </c>
      <c r="AH12" s="1006" t="s">
        <v>10</v>
      </c>
      <c r="AI12" s="1006" t="s">
        <v>11</v>
      </c>
      <c r="AJ12" s="1004" t="s">
        <v>9</v>
      </c>
      <c r="AK12" s="1006" t="s">
        <v>10</v>
      </c>
      <c r="AL12" s="1006" t="s">
        <v>11</v>
      </c>
      <c r="AM12" s="1004" t="s">
        <v>9</v>
      </c>
      <c r="AN12" s="1006" t="s">
        <v>10</v>
      </c>
      <c r="AO12" s="1008" t="s">
        <v>11</v>
      </c>
      <c r="AP12" s="1004" t="s">
        <v>9</v>
      </c>
      <c r="AQ12" s="1006" t="s">
        <v>10</v>
      </c>
      <c r="AR12" s="1008" t="s">
        <v>11</v>
      </c>
      <c r="AS12" s="1004" t="s">
        <v>9</v>
      </c>
      <c r="AT12" s="1006" t="s">
        <v>10</v>
      </c>
      <c r="AU12" s="1006" t="s">
        <v>11</v>
      </c>
      <c r="AV12" s="1004" t="s">
        <v>9</v>
      </c>
      <c r="AW12" s="1006" t="s">
        <v>10</v>
      </c>
      <c r="AX12" s="1006" t="s">
        <v>11</v>
      </c>
      <c r="AY12" s="1004" t="s">
        <v>9</v>
      </c>
      <c r="AZ12" s="1006" t="s">
        <v>10</v>
      </c>
      <c r="BA12" s="1008" t="s">
        <v>11</v>
      </c>
      <c r="BB12" s="1004" t="s">
        <v>9</v>
      </c>
      <c r="BC12" s="1006" t="s">
        <v>10</v>
      </c>
      <c r="BD12" s="1008" t="s">
        <v>11</v>
      </c>
      <c r="BE12" s="1004" t="s">
        <v>9</v>
      </c>
      <c r="BF12" s="1006" t="s">
        <v>10</v>
      </c>
      <c r="BG12" s="1006" t="s">
        <v>11</v>
      </c>
      <c r="BH12" s="1004" t="s">
        <v>9</v>
      </c>
      <c r="BI12" s="1006" t="s">
        <v>10</v>
      </c>
      <c r="BJ12" s="1006" t="s">
        <v>11</v>
      </c>
      <c r="BK12" s="1004" t="s">
        <v>9</v>
      </c>
      <c r="BL12" s="1006" t="s">
        <v>10</v>
      </c>
      <c r="BM12" s="1008" t="s">
        <v>11</v>
      </c>
      <c r="BN12" s="1004" t="s">
        <v>9</v>
      </c>
      <c r="BO12" s="1006" t="s">
        <v>10</v>
      </c>
      <c r="BP12" s="1008" t="s">
        <v>11</v>
      </c>
      <c r="BQ12" s="1004" t="s">
        <v>9</v>
      </c>
      <c r="BR12" s="1006" t="s">
        <v>10</v>
      </c>
      <c r="BS12" s="1006" t="s">
        <v>11</v>
      </c>
      <c r="BT12" s="1004" t="s">
        <v>9</v>
      </c>
      <c r="BU12" s="1006" t="s">
        <v>10</v>
      </c>
      <c r="BV12" s="1006" t="s">
        <v>11</v>
      </c>
      <c r="BW12" s="1004" t="s">
        <v>9</v>
      </c>
      <c r="BX12" s="1006" t="s">
        <v>10</v>
      </c>
      <c r="BY12" s="1008" t="s">
        <v>11</v>
      </c>
      <c r="BZ12" s="1004" t="s">
        <v>9</v>
      </c>
      <c r="CA12" s="1006" t="s">
        <v>10</v>
      </c>
      <c r="CB12" s="1008" t="s">
        <v>11</v>
      </c>
    </row>
    <row r="13" spans="1:80" ht="23.25" customHeight="1" thickBot="1" x14ac:dyDescent="0.25">
      <c r="A13" s="1043"/>
      <c r="B13" s="1044"/>
      <c r="C13" s="1045"/>
      <c r="D13" s="1047"/>
      <c r="E13" s="1043"/>
      <c r="F13" s="1044"/>
      <c r="G13" s="1044"/>
      <c r="H13" s="1045"/>
      <c r="I13" s="1005"/>
      <c r="J13" s="1007"/>
      <c r="K13" s="1007"/>
      <c r="L13" s="1005"/>
      <c r="M13" s="1007"/>
      <c r="N13" s="1007"/>
      <c r="O13" s="1005"/>
      <c r="P13" s="1007"/>
      <c r="Q13" s="1009"/>
      <c r="R13" s="1005"/>
      <c r="S13" s="1007"/>
      <c r="T13" s="1009"/>
      <c r="U13" s="1005"/>
      <c r="V13" s="1007"/>
      <c r="W13" s="1007"/>
      <c r="X13" s="1005"/>
      <c r="Y13" s="1007"/>
      <c r="Z13" s="1007"/>
      <c r="AA13" s="1005"/>
      <c r="AB13" s="1007"/>
      <c r="AC13" s="1009"/>
      <c r="AD13" s="1005"/>
      <c r="AE13" s="1007"/>
      <c r="AF13" s="1009"/>
      <c r="AG13" s="1005"/>
      <c r="AH13" s="1007"/>
      <c r="AI13" s="1007"/>
      <c r="AJ13" s="1005"/>
      <c r="AK13" s="1007"/>
      <c r="AL13" s="1007"/>
      <c r="AM13" s="1005"/>
      <c r="AN13" s="1007"/>
      <c r="AO13" s="1009"/>
      <c r="AP13" s="1005"/>
      <c r="AQ13" s="1007"/>
      <c r="AR13" s="1009"/>
      <c r="AS13" s="1005"/>
      <c r="AT13" s="1007"/>
      <c r="AU13" s="1007"/>
      <c r="AV13" s="1005"/>
      <c r="AW13" s="1007"/>
      <c r="AX13" s="1007"/>
      <c r="AY13" s="1005"/>
      <c r="AZ13" s="1007"/>
      <c r="BA13" s="1009"/>
      <c r="BB13" s="1005"/>
      <c r="BC13" s="1007"/>
      <c r="BD13" s="1009"/>
      <c r="BE13" s="1005"/>
      <c r="BF13" s="1007"/>
      <c r="BG13" s="1007"/>
      <c r="BH13" s="1005"/>
      <c r="BI13" s="1007"/>
      <c r="BJ13" s="1007"/>
      <c r="BK13" s="1005"/>
      <c r="BL13" s="1007"/>
      <c r="BM13" s="1009"/>
      <c r="BN13" s="1005"/>
      <c r="BO13" s="1007"/>
      <c r="BP13" s="1009"/>
      <c r="BQ13" s="1005"/>
      <c r="BR13" s="1007"/>
      <c r="BS13" s="1007"/>
      <c r="BT13" s="1005"/>
      <c r="BU13" s="1007"/>
      <c r="BV13" s="1007"/>
      <c r="BW13" s="1005"/>
      <c r="BX13" s="1007"/>
      <c r="BY13" s="1009"/>
      <c r="BZ13" s="1005"/>
      <c r="CA13" s="1007"/>
      <c r="CB13" s="1009"/>
    </row>
    <row r="14" spans="1:80" ht="18" customHeight="1" thickBot="1" x14ac:dyDescent="0.3">
      <c r="A14" s="1023" t="s">
        <v>12</v>
      </c>
      <c r="B14" s="1024"/>
      <c r="C14" s="1025"/>
      <c r="D14" s="1032">
        <v>16</v>
      </c>
      <c r="E14" s="1023" t="s">
        <v>13</v>
      </c>
      <c r="F14" s="1025"/>
      <c r="G14" s="1035" t="s">
        <v>55</v>
      </c>
      <c r="H14" s="1036"/>
      <c r="I14" s="38">
        <f>I15/I17*I18</f>
        <v>26.033057851239672</v>
      </c>
      <c r="J14" s="39">
        <f>I14*I17/1000*0.8237</f>
        <v>2.5946550000000004</v>
      </c>
      <c r="K14" s="87">
        <f>I14*I17/1000*(1-0.8237)</f>
        <v>0.55534500000000009</v>
      </c>
      <c r="L14" s="38">
        <f>L15/L17*L18</f>
        <v>26.033057851239672</v>
      </c>
      <c r="M14" s="39">
        <f>L14*L17/1000*0.8237</f>
        <v>2.5946550000000004</v>
      </c>
      <c r="N14" s="87">
        <f>L14*L17/1000*(1-0.8237)</f>
        <v>0.55534500000000009</v>
      </c>
      <c r="O14" s="38">
        <f>O15/O17*O18</f>
        <v>26.033057851239672</v>
      </c>
      <c r="P14" s="39">
        <f>O14*O17/1000*0.8237</f>
        <v>2.5946550000000004</v>
      </c>
      <c r="Q14" s="87">
        <f>O14*O17/1000*(1-0.8237)</f>
        <v>0.55534500000000009</v>
      </c>
      <c r="R14" s="38">
        <f>R15/R17*R18</f>
        <v>26.033057851239672</v>
      </c>
      <c r="S14" s="39">
        <f>R14*R17/1000*0.8237</f>
        <v>2.5946550000000004</v>
      </c>
      <c r="T14" s="87">
        <f>R14*R17/1000*(1-0.8237)</f>
        <v>0.55534500000000009</v>
      </c>
      <c r="U14" s="38">
        <f>U15/U17*U18</f>
        <v>26.033057851239672</v>
      </c>
      <c r="V14" s="39">
        <f>U14*U17/1000*0.8237</f>
        <v>2.5946550000000004</v>
      </c>
      <c r="W14" s="87">
        <f>U14*U17/1000*(1-0.8237)</f>
        <v>0.55534500000000009</v>
      </c>
      <c r="X14" s="38">
        <f>X15/X17*X18</f>
        <v>26.033057851239672</v>
      </c>
      <c r="Y14" s="39">
        <f>X14*X17/1000*0.8237</f>
        <v>2.5946550000000004</v>
      </c>
      <c r="Z14" s="87">
        <f>X14*X17/1000*(1-0.8237)</f>
        <v>0.55534500000000009</v>
      </c>
      <c r="AA14" s="38">
        <f>AA15/AA17*AA18</f>
        <v>39.049586776859506</v>
      </c>
      <c r="AB14" s="39">
        <f>AA14*AA17/1000*0.8237</f>
        <v>3.8919824999999997</v>
      </c>
      <c r="AC14" s="87">
        <f>AA14*AA17/1000*(1-0.8237)</f>
        <v>0.83301749999999997</v>
      </c>
      <c r="AD14" s="38">
        <f>AD15/AD17*AD18</f>
        <v>39.049586776859506</v>
      </c>
      <c r="AE14" s="39">
        <f>AD14*AD17/1000*0.8237</f>
        <v>3.8919824999999997</v>
      </c>
      <c r="AF14" s="87">
        <f>AD14*AD17/1000*(1-0.8237)</f>
        <v>0.83301749999999997</v>
      </c>
      <c r="AG14" s="38">
        <f>AG15/AG17*AG18</f>
        <v>39.049586776859506</v>
      </c>
      <c r="AH14" s="39">
        <f>AG14*AG17/1000*0.8237</f>
        <v>3.8919824999999997</v>
      </c>
      <c r="AI14" s="87">
        <f>AG14*AG17/1000*(1-0.8237)</f>
        <v>0.83301749999999997</v>
      </c>
      <c r="AJ14" s="38">
        <f>AJ15/AJ17*AJ18</f>
        <v>39.049586776859506</v>
      </c>
      <c r="AK14" s="39">
        <f>AJ14*AJ17/1000*0.8237</f>
        <v>3.8919824999999997</v>
      </c>
      <c r="AL14" s="87">
        <f>AJ14*AJ17/1000*(1-0.8237)</f>
        <v>0.83301749999999997</v>
      </c>
      <c r="AM14" s="38">
        <f>AM15/AM17*AM18</f>
        <v>39.049586776859506</v>
      </c>
      <c r="AN14" s="39">
        <f>AM14*AM17/1000*0.8237</f>
        <v>3.8919824999999997</v>
      </c>
      <c r="AO14" s="87">
        <f>AM14*AM17/1000*(1-0.8237)</f>
        <v>0.83301749999999997</v>
      </c>
      <c r="AP14" s="38">
        <f>AP15/AP17*AP18</f>
        <v>39.483471074380169</v>
      </c>
      <c r="AQ14" s="39">
        <f>AP14*AP17/1000*0.8237</f>
        <v>3.9352267500000004</v>
      </c>
      <c r="AR14" s="87">
        <f>AP14*AP17/1000*(1-0.8237)</f>
        <v>0.8422732500000002</v>
      </c>
      <c r="AS14" s="38">
        <f>AS15/AS17*AS18</f>
        <v>39.483471074380169</v>
      </c>
      <c r="AT14" s="39">
        <f>AS14*AS17/1000*0.8237</f>
        <v>3.9352267500000004</v>
      </c>
      <c r="AU14" s="87">
        <f>AS14*AS17/1000*(1-0.8237)</f>
        <v>0.8422732500000002</v>
      </c>
      <c r="AV14" s="38">
        <f>AV15/AV17*AV18</f>
        <v>39.483471074380169</v>
      </c>
      <c r="AW14" s="39">
        <f>AV14*AV17/1000*0.8237</f>
        <v>3.9352267500000004</v>
      </c>
      <c r="AX14" s="87">
        <f>AV14*AV17/1000*(1-0.8237)</f>
        <v>0.8422732500000002</v>
      </c>
      <c r="AY14" s="38">
        <f>AY15/AY17*AY18</f>
        <v>39.483471074380169</v>
      </c>
      <c r="AZ14" s="39">
        <f>AY14*AY17/1000*0.8237</f>
        <v>3.9352267500000004</v>
      </c>
      <c r="BA14" s="87">
        <f>AY14*AY17/1000*(1-0.8237)</f>
        <v>0.8422732500000002</v>
      </c>
      <c r="BB14" s="38">
        <f>BB15/BB17*BB18</f>
        <v>39.483471074380169</v>
      </c>
      <c r="BC14" s="39">
        <f>BB14*BB17/1000*0.8237</f>
        <v>3.9352267500000004</v>
      </c>
      <c r="BD14" s="87">
        <f>BB14*BB17/1000*(1-0.8237)</f>
        <v>0.8422732500000002</v>
      </c>
      <c r="BE14" s="38">
        <f>BE15/BE17*BE18</f>
        <v>39.483471074380169</v>
      </c>
      <c r="BF14" s="39">
        <f>BE14*BE17/1000*0.8237</f>
        <v>3.9352267500000004</v>
      </c>
      <c r="BG14" s="87">
        <f>BE14*BE17/1000*(1-0.8237)</f>
        <v>0.8422732500000002</v>
      </c>
      <c r="BH14" s="38">
        <f>BH15/BH17*BH18</f>
        <v>39.483471074380169</v>
      </c>
      <c r="BI14" s="39">
        <f>BH14*BH17/1000*0.8237</f>
        <v>3.9352267500000004</v>
      </c>
      <c r="BJ14" s="87">
        <f>BH14*BH17/1000*(1-0.8237)</f>
        <v>0.8422732500000002</v>
      </c>
      <c r="BK14" s="38">
        <f>BK15/BK17*BK18</f>
        <v>32.107438016528924</v>
      </c>
      <c r="BL14" s="39">
        <f>BK14*BK17/1000*0.8237</f>
        <v>3.2000744999999999</v>
      </c>
      <c r="BM14" s="87">
        <f>BK14*BK17/1000*(1-0.8237)</f>
        <v>0.68492549999999996</v>
      </c>
      <c r="BN14" s="38">
        <f>BN15/BN17*BN18</f>
        <v>32.107438016528924</v>
      </c>
      <c r="BO14" s="39">
        <f>BN14*BN17/1000*0.8237</f>
        <v>3.2000744999999999</v>
      </c>
      <c r="BP14" s="87">
        <f>BN14*BN17/1000*(1-0.8237)</f>
        <v>0.68492549999999996</v>
      </c>
      <c r="BQ14" s="38">
        <f>BQ15/BQ17*BQ18</f>
        <v>32.107438016528924</v>
      </c>
      <c r="BR14" s="39">
        <f>BQ14*BQ17/1000*0.8237</f>
        <v>3.2000744999999999</v>
      </c>
      <c r="BS14" s="87">
        <f>BQ14*BQ17/1000*(1-0.8237)</f>
        <v>0.68492549999999996</v>
      </c>
      <c r="BT14" s="38">
        <f>BT15/BT17*BT18</f>
        <v>26.033057851239672</v>
      </c>
      <c r="BU14" s="39">
        <f>BT14*BT17/1000*0.8237</f>
        <v>2.5946550000000004</v>
      </c>
      <c r="BV14" s="87">
        <f>BT14*BT17/1000*(1-0.8237)</f>
        <v>0.55534500000000009</v>
      </c>
      <c r="BW14" s="38">
        <f>BW15/BW17*BW18</f>
        <v>26.033057851239672</v>
      </c>
      <c r="BX14" s="39">
        <f>BW14*BW17/1000*0.8237</f>
        <v>2.5946550000000004</v>
      </c>
      <c r="BY14" s="87">
        <f>BW14*BW17/1000*(1-0.8237)</f>
        <v>0.55534500000000009</v>
      </c>
      <c r="BZ14" s="38">
        <f>BZ15/BZ17*BZ18</f>
        <v>26.033057851239672</v>
      </c>
      <c r="CA14" s="39">
        <f>BZ14*BZ17/1000*0.8237</f>
        <v>2.5946550000000004</v>
      </c>
      <c r="CB14" s="87">
        <f>BZ14*BZ17/1000*(1-0.8237)</f>
        <v>0.55534500000000009</v>
      </c>
    </row>
    <row r="15" spans="1:80" ht="18" customHeight="1" thickBot="1" x14ac:dyDescent="0.3">
      <c r="A15" s="1026"/>
      <c r="B15" s="1027"/>
      <c r="C15" s="1028"/>
      <c r="D15" s="1033"/>
      <c r="E15" s="1026"/>
      <c r="F15" s="1028"/>
      <c r="G15" s="1023" t="s">
        <v>46</v>
      </c>
      <c r="H15" s="1025"/>
      <c r="I15" s="62">
        <v>300</v>
      </c>
      <c r="J15" s="63">
        <f>I18*I15/1000*0.8811</f>
        <v>2.7754650000000001</v>
      </c>
      <c r="K15" s="88">
        <f>I18*I15/1000*(1-0.8811)</f>
        <v>0.37453500000000001</v>
      </c>
      <c r="L15" s="62">
        <v>300</v>
      </c>
      <c r="M15" s="63">
        <f>L18*L15/1000*0.8811</f>
        <v>2.7754650000000001</v>
      </c>
      <c r="N15" s="88">
        <f>L18*L15/1000*(1-0.8811)</f>
        <v>0.37453500000000001</v>
      </c>
      <c r="O15" s="62">
        <v>300</v>
      </c>
      <c r="P15" s="63">
        <f>O18*O15/1000*0.8811</f>
        <v>2.7754650000000001</v>
      </c>
      <c r="Q15" s="88">
        <f>O18*O15/1000*(1-0.8811)</f>
        <v>0.37453500000000001</v>
      </c>
      <c r="R15" s="62">
        <v>300</v>
      </c>
      <c r="S15" s="63">
        <f>R18*R15/1000*0.8811</f>
        <v>2.7754650000000001</v>
      </c>
      <c r="T15" s="88">
        <f>R18*R15/1000*(1-0.8811)</f>
        <v>0.37453500000000001</v>
      </c>
      <c r="U15" s="62">
        <v>300</v>
      </c>
      <c r="V15" s="63">
        <f>U18*U15/1000*0.8811</f>
        <v>2.7754650000000001</v>
      </c>
      <c r="W15" s="88">
        <f>U18*U15/1000*(1-0.8811)</f>
        <v>0.37453500000000001</v>
      </c>
      <c r="X15" s="62">
        <v>300</v>
      </c>
      <c r="Y15" s="63">
        <f>X18*X15/1000*0.8811</f>
        <v>2.7754650000000001</v>
      </c>
      <c r="Z15" s="88">
        <f>X18*X15/1000*(1-0.8811)</f>
        <v>0.37453500000000001</v>
      </c>
      <c r="AA15" s="62">
        <v>450</v>
      </c>
      <c r="AB15" s="63">
        <f>AA18*AA15/1000*0.8811</f>
        <v>4.1631974999999999</v>
      </c>
      <c r="AC15" s="88">
        <f>AA18*AA15/1000*(1-0.8811)</f>
        <v>0.56180249999999998</v>
      </c>
      <c r="AD15" s="62">
        <v>450</v>
      </c>
      <c r="AE15" s="63">
        <f>AD18*AD15/1000*0.8811</f>
        <v>4.1631974999999999</v>
      </c>
      <c r="AF15" s="88">
        <f>AD18*AD15/1000*(1-0.8811)</f>
        <v>0.56180249999999998</v>
      </c>
      <c r="AG15" s="62">
        <v>450</v>
      </c>
      <c r="AH15" s="63">
        <f>AG18*AG15/1000*0.8811</f>
        <v>4.1631974999999999</v>
      </c>
      <c r="AI15" s="88">
        <f>AG18*AG15/1000*(1-0.8811)</f>
        <v>0.56180249999999998</v>
      </c>
      <c r="AJ15" s="62">
        <v>450</v>
      </c>
      <c r="AK15" s="63">
        <f>AJ18*AJ15/1000*0.8811</f>
        <v>4.1631974999999999</v>
      </c>
      <c r="AL15" s="88">
        <f>AJ18*AJ15/1000*(1-0.8811)</f>
        <v>0.56180249999999998</v>
      </c>
      <c r="AM15" s="62">
        <v>450</v>
      </c>
      <c r="AN15" s="63">
        <f>AM18*AM15/1000*0.8811</f>
        <v>4.1631974999999999</v>
      </c>
      <c r="AO15" s="88">
        <f>AM18*AM15/1000*(1-0.8811)</f>
        <v>0.56180249999999998</v>
      </c>
      <c r="AP15" s="62">
        <v>455</v>
      </c>
      <c r="AQ15" s="63">
        <f>AP18*AP15/1000*0.8811</f>
        <v>4.2094552499999995</v>
      </c>
      <c r="AR15" s="88">
        <f>AP18*AP15/1000*(1-0.8811)</f>
        <v>0.56804474999999999</v>
      </c>
      <c r="AS15" s="62">
        <v>455</v>
      </c>
      <c r="AT15" s="63">
        <f>AS18*AS15/1000*0.8811</f>
        <v>4.2094552499999995</v>
      </c>
      <c r="AU15" s="88">
        <f>AS18*AS15/1000*(1-0.8811)</f>
        <v>0.56804474999999999</v>
      </c>
      <c r="AV15" s="62">
        <v>455</v>
      </c>
      <c r="AW15" s="63">
        <f>AV18*AV15/1000*0.8811</f>
        <v>4.2094552499999995</v>
      </c>
      <c r="AX15" s="88">
        <f>AV18*AV15/1000*(1-0.8811)</f>
        <v>0.56804474999999999</v>
      </c>
      <c r="AY15" s="62">
        <v>455</v>
      </c>
      <c r="AZ15" s="63">
        <f>AY18*AY15/1000*0.8811</f>
        <v>4.2094552499999995</v>
      </c>
      <c r="BA15" s="88">
        <f>AY18*AY15/1000*(1-0.8811)</f>
        <v>0.56804474999999999</v>
      </c>
      <c r="BB15" s="62">
        <v>455</v>
      </c>
      <c r="BC15" s="63">
        <f>BB18*BB15/1000*0.8811</f>
        <v>4.2094552499999995</v>
      </c>
      <c r="BD15" s="88">
        <f>BB18*BB15/1000*(1-0.8811)</f>
        <v>0.56804474999999999</v>
      </c>
      <c r="BE15" s="62">
        <v>455</v>
      </c>
      <c r="BF15" s="63">
        <f>BE18*BE15/1000*0.8811</f>
        <v>4.2094552499999995</v>
      </c>
      <c r="BG15" s="88">
        <f>BE18*BE15/1000*(1-0.8811)</f>
        <v>0.56804474999999999</v>
      </c>
      <c r="BH15" s="62">
        <v>455</v>
      </c>
      <c r="BI15" s="63">
        <f>BH18*BH15/1000*0.8811</f>
        <v>4.2094552499999995</v>
      </c>
      <c r="BJ15" s="88">
        <f>BH18*BH15/1000*(1-0.8811)</f>
        <v>0.56804474999999999</v>
      </c>
      <c r="BK15" s="62">
        <v>370</v>
      </c>
      <c r="BL15" s="63">
        <f>BK18*BK15/1000*0.8811</f>
        <v>3.4230734999999997</v>
      </c>
      <c r="BM15" s="88">
        <f>BK18*BK15/1000*(1-0.8811)</f>
        <v>0.46192650000000002</v>
      </c>
      <c r="BN15" s="62">
        <v>370</v>
      </c>
      <c r="BO15" s="63">
        <f>BN18*BN15/1000*0.8811</f>
        <v>3.4230734999999997</v>
      </c>
      <c r="BP15" s="88">
        <f>BN18*BN15/1000*(1-0.8811)</f>
        <v>0.46192650000000002</v>
      </c>
      <c r="BQ15" s="62">
        <v>370</v>
      </c>
      <c r="BR15" s="63">
        <f>BQ18*BQ15/1000*0.8811</f>
        <v>3.4230734999999997</v>
      </c>
      <c r="BS15" s="88">
        <f>BQ18*BQ15/1000*(1-0.8811)</f>
        <v>0.46192650000000002</v>
      </c>
      <c r="BT15" s="62">
        <v>300</v>
      </c>
      <c r="BU15" s="63">
        <f>BT18*BT15/1000*0.8811</f>
        <v>2.7754650000000001</v>
      </c>
      <c r="BV15" s="88">
        <f>BT18*BT15/1000*(1-0.8811)</f>
        <v>0.37453500000000001</v>
      </c>
      <c r="BW15" s="62">
        <v>300</v>
      </c>
      <c r="BX15" s="63">
        <f>BW18*BW15/1000*0.8811</f>
        <v>2.7754650000000001</v>
      </c>
      <c r="BY15" s="88">
        <f>BW18*BW15/1000*(1-0.8811)</f>
        <v>0.37453500000000001</v>
      </c>
      <c r="BZ15" s="62">
        <v>300</v>
      </c>
      <c r="CA15" s="63">
        <f>BZ18*BZ15/1000*0.8811</f>
        <v>2.7754650000000001</v>
      </c>
      <c r="CB15" s="88">
        <f>BZ18*BZ15/1000*(1-0.8811)</f>
        <v>0.37453500000000001</v>
      </c>
    </row>
    <row r="16" spans="1:80" ht="18" customHeight="1" thickBot="1" x14ac:dyDescent="0.3">
      <c r="A16" s="1026"/>
      <c r="B16" s="1027"/>
      <c r="C16" s="1028"/>
      <c r="D16" s="1033"/>
      <c r="E16" s="1037" t="s">
        <v>15</v>
      </c>
      <c r="F16" s="1038"/>
      <c r="G16" s="1038"/>
      <c r="H16" s="1039"/>
      <c r="I16" s="1107">
        <v>3</v>
      </c>
      <c r="J16" s="1108"/>
      <c r="K16" s="1109"/>
      <c r="L16" s="1107">
        <v>3</v>
      </c>
      <c r="M16" s="1108"/>
      <c r="N16" s="1109"/>
      <c r="O16" s="1107">
        <v>3</v>
      </c>
      <c r="P16" s="1108"/>
      <c r="Q16" s="1109"/>
      <c r="R16" s="1107">
        <v>3</v>
      </c>
      <c r="S16" s="1108"/>
      <c r="T16" s="1109"/>
      <c r="U16" s="1107">
        <v>3</v>
      </c>
      <c r="V16" s="1108"/>
      <c r="W16" s="1109"/>
      <c r="X16" s="1107">
        <v>3</v>
      </c>
      <c r="Y16" s="1108"/>
      <c r="Z16" s="1109"/>
      <c r="AA16" s="1107">
        <v>3</v>
      </c>
      <c r="AB16" s="1108"/>
      <c r="AC16" s="1109"/>
      <c r="AD16" s="1107">
        <v>3</v>
      </c>
      <c r="AE16" s="1108"/>
      <c r="AF16" s="1109"/>
      <c r="AG16" s="1107">
        <v>3</v>
      </c>
      <c r="AH16" s="1108"/>
      <c r="AI16" s="1109"/>
      <c r="AJ16" s="1107">
        <v>3</v>
      </c>
      <c r="AK16" s="1108"/>
      <c r="AL16" s="1109"/>
      <c r="AM16" s="1107">
        <v>3</v>
      </c>
      <c r="AN16" s="1108"/>
      <c r="AO16" s="1109"/>
      <c r="AP16" s="1107">
        <v>3</v>
      </c>
      <c r="AQ16" s="1108"/>
      <c r="AR16" s="1109"/>
      <c r="AS16" s="1107">
        <v>3</v>
      </c>
      <c r="AT16" s="1108"/>
      <c r="AU16" s="1109"/>
      <c r="AV16" s="1107">
        <v>3</v>
      </c>
      <c r="AW16" s="1108"/>
      <c r="AX16" s="1109"/>
      <c r="AY16" s="1107">
        <v>3</v>
      </c>
      <c r="AZ16" s="1108"/>
      <c r="BA16" s="1109"/>
      <c r="BB16" s="1107">
        <v>3</v>
      </c>
      <c r="BC16" s="1108"/>
      <c r="BD16" s="1109"/>
      <c r="BE16" s="1107">
        <v>3</v>
      </c>
      <c r="BF16" s="1108"/>
      <c r="BG16" s="1109"/>
      <c r="BH16" s="1107">
        <v>3</v>
      </c>
      <c r="BI16" s="1108"/>
      <c r="BJ16" s="1109"/>
      <c r="BK16" s="1107">
        <v>3</v>
      </c>
      <c r="BL16" s="1108"/>
      <c r="BM16" s="1109"/>
      <c r="BN16" s="1107">
        <v>3</v>
      </c>
      <c r="BO16" s="1108"/>
      <c r="BP16" s="1109"/>
      <c r="BQ16" s="1107">
        <v>3</v>
      </c>
      <c r="BR16" s="1108"/>
      <c r="BS16" s="1109"/>
      <c r="BT16" s="1107">
        <v>3</v>
      </c>
      <c r="BU16" s="1108"/>
      <c r="BV16" s="1109"/>
      <c r="BW16" s="1107">
        <v>3</v>
      </c>
      <c r="BX16" s="1108"/>
      <c r="BY16" s="1109"/>
      <c r="BZ16" s="1107">
        <v>3</v>
      </c>
      <c r="CA16" s="1108"/>
      <c r="CB16" s="1109"/>
    </row>
    <row r="17" spans="1:80" ht="18" customHeight="1" thickBot="1" x14ac:dyDescent="0.3">
      <c r="A17" s="1026"/>
      <c r="B17" s="1027"/>
      <c r="C17" s="1028"/>
      <c r="D17" s="1033"/>
      <c r="E17" s="1023" t="s">
        <v>14</v>
      </c>
      <c r="F17" s="1025"/>
      <c r="G17" s="1035" t="s">
        <v>55</v>
      </c>
      <c r="H17" s="1036"/>
      <c r="I17" s="998">
        <v>121</v>
      </c>
      <c r="J17" s="999"/>
      <c r="K17" s="1000"/>
      <c r="L17" s="998">
        <v>121</v>
      </c>
      <c r="M17" s="999"/>
      <c r="N17" s="1000"/>
      <c r="O17" s="998">
        <v>121</v>
      </c>
      <c r="P17" s="999"/>
      <c r="Q17" s="1000"/>
      <c r="R17" s="998">
        <v>121</v>
      </c>
      <c r="S17" s="999"/>
      <c r="T17" s="1000"/>
      <c r="U17" s="998">
        <v>121</v>
      </c>
      <c r="V17" s="999"/>
      <c r="W17" s="1000"/>
      <c r="X17" s="998">
        <v>121</v>
      </c>
      <c r="Y17" s="999"/>
      <c r="Z17" s="1000"/>
      <c r="AA17" s="998">
        <v>121</v>
      </c>
      <c r="AB17" s="999"/>
      <c r="AC17" s="1000"/>
      <c r="AD17" s="998">
        <v>121</v>
      </c>
      <c r="AE17" s="999"/>
      <c r="AF17" s="1000"/>
      <c r="AG17" s="998">
        <v>121</v>
      </c>
      <c r="AH17" s="999"/>
      <c r="AI17" s="1000"/>
      <c r="AJ17" s="998">
        <v>121</v>
      </c>
      <c r="AK17" s="999"/>
      <c r="AL17" s="1000"/>
      <c r="AM17" s="998">
        <v>121</v>
      </c>
      <c r="AN17" s="999"/>
      <c r="AO17" s="1000"/>
      <c r="AP17" s="998">
        <v>121</v>
      </c>
      <c r="AQ17" s="999"/>
      <c r="AR17" s="1000"/>
      <c r="AS17" s="998">
        <v>121</v>
      </c>
      <c r="AT17" s="999"/>
      <c r="AU17" s="1000"/>
      <c r="AV17" s="998">
        <v>121</v>
      </c>
      <c r="AW17" s="999"/>
      <c r="AX17" s="1000"/>
      <c r="AY17" s="998">
        <v>121</v>
      </c>
      <c r="AZ17" s="999"/>
      <c r="BA17" s="1000"/>
      <c r="BB17" s="998">
        <v>121</v>
      </c>
      <c r="BC17" s="999"/>
      <c r="BD17" s="1000"/>
      <c r="BE17" s="998">
        <v>121</v>
      </c>
      <c r="BF17" s="999"/>
      <c r="BG17" s="1000"/>
      <c r="BH17" s="998">
        <v>121</v>
      </c>
      <c r="BI17" s="999"/>
      <c r="BJ17" s="1000"/>
      <c r="BK17" s="998">
        <v>121</v>
      </c>
      <c r="BL17" s="999"/>
      <c r="BM17" s="1000"/>
      <c r="BN17" s="998">
        <v>121</v>
      </c>
      <c r="BO17" s="999"/>
      <c r="BP17" s="1000"/>
      <c r="BQ17" s="998">
        <v>121</v>
      </c>
      <c r="BR17" s="999"/>
      <c r="BS17" s="1000"/>
      <c r="BT17" s="998">
        <v>121</v>
      </c>
      <c r="BU17" s="999"/>
      <c r="BV17" s="1000"/>
      <c r="BW17" s="998">
        <v>121</v>
      </c>
      <c r="BX17" s="999"/>
      <c r="BY17" s="1000"/>
      <c r="BZ17" s="998">
        <v>121</v>
      </c>
      <c r="CA17" s="999"/>
      <c r="CB17" s="1000"/>
    </row>
    <row r="18" spans="1:80" ht="18" customHeight="1" thickBot="1" x14ac:dyDescent="0.3">
      <c r="A18" s="1026"/>
      <c r="B18" s="1027"/>
      <c r="C18" s="1028"/>
      <c r="D18" s="1033"/>
      <c r="E18" s="1026"/>
      <c r="F18" s="1028"/>
      <c r="G18" s="1023" t="s">
        <v>46</v>
      </c>
      <c r="H18" s="1025"/>
      <c r="I18" s="1076">
        <v>10.5</v>
      </c>
      <c r="J18" s="1077"/>
      <c r="K18" s="1078"/>
      <c r="L18" s="1076">
        <v>10.5</v>
      </c>
      <c r="M18" s="1077"/>
      <c r="N18" s="1078"/>
      <c r="O18" s="1076">
        <v>10.5</v>
      </c>
      <c r="P18" s="1077"/>
      <c r="Q18" s="1078"/>
      <c r="R18" s="1076">
        <v>10.5</v>
      </c>
      <c r="S18" s="1077"/>
      <c r="T18" s="1078"/>
      <c r="U18" s="1076">
        <v>10.5</v>
      </c>
      <c r="V18" s="1077"/>
      <c r="W18" s="1078"/>
      <c r="X18" s="1076">
        <v>10.5</v>
      </c>
      <c r="Y18" s="1077"/>
      <c r="Z18" s="1078"/>
      <c r="AA18" s="1076">
        <v>10.5</v>
      </c>
      <c r="AB18" s="1077"/>
      <c r="AC18" s="1078"/>
      <c r="AD18" s="1076">
        <v>10.5</v>
      </c>
      <c r="AE18" s="1077"/>
      <c r="AF18" s="1078"/>
      <c r="AG18" s="1076">
        <v>10.5</v>
      </c>
      <c r="AH18" s="1077"/>
      <c r="AI18" s="1078"/>
      <c r="AJ18" s="1076">
        <v>10.5</v>
      </c>
      <c r="AK18" s="1077"/>
      <c r="AL18" s="1078"/>
      <c r="AM18" s="1076">
        <v>10.5</v>
      </c>
      <c r="AN18" s="1077"/>
      <c r="AO18" s="1078"/>
      <c r="AP18" s="1076">
        <v>10.5</v>
      </c>
      <c r="AQ18" s="1077"/>
      <c r="AR18" s="1078"/>
      <c r="AS18" s="1076">
        <v>10.5</v>
      </c>
      <c r="AT18" s="1077"/>
      <c r="AU18" s="1078"/>
      <c r="AV18" s="1076">
        <v>10.5</v>
      </c>
      <c r="AW18" s="1077"/>
      <c r="AX18" s="1078"/>
      <c r="AY18" s="1076">
        <v>10.5</v>
      </c>
      <c r="AZ18" s="1077"/>
      <c r="BA18" s="1078"/>
      <c r="BB18" s="1076">
        <v>10.5</v>
      </c>
      <c r="BC18" s="1077"/>
      <c r="BD18" s="1078"/>
      <c r="BE18" s="1076">
        <v>10.5</v>
      </c>
      <c r="BF18" s="1077"/>
      <c r="BG18" s="1078"/>
      <c r="BH18" s="1076">
        <v>10.5</v>
      </c>
      <c r="BI18" s="1077"/>
      <c r="BJ18" s="1078"/>
      <c r="BK18" s="1076">
        <v>10.5</v>
      </c>
      <c r="BL18" s="1077"/>
      <c r="BM18" s="1078"/>
      <c r="BN18" s="1076">
        <v>10.5</v>
      </c>
      <c r="BO18" s="1077"/>
      <c r="BP18" s="1078"/>
      <c r="BQ18" s="1076">
        <v>10.5</v>
      </c>
      <c r="BR18" s="1077"/>
      <c r="BS18" s="1078"/>
      <c r="BT18" s="1076">
        <v>10.5</v>
      </c>
      <c r="BU18" s="1077"/>
      <c r="BV18" s="1078"/>
      <c r="BW18" s="1076">
        <v>10.5</v>
      </c>
      <c r="BX18" s="1077"/>
      <c r="BY18" s="1078"/>
      <c r="BZ18" s="1076">
        <v>10.5</v>
      </c>
      <c r="CA18" s="1077"/>
      <c r="CB18" s="1078"/>
    </row>
    <row r="19" spans="1:80" ht="18" customHeight="1" thickBot="1" x14ac:dyDescent="0.3">
      <c r="A19" s="1029"/>
      <c r="B19" s="1030"/>
      <c r="C19" s="1031"/>
      <c r="D19" s="1034"/>
      <c r="E19" s="1037" t="s">
        <v>31</v>
      </c>
      <c r="F19" s="1038"/>
      <c r="G19" s="1037"/>
      <c r="H19" s="1039"/>
      <c r="I19" s="1107"/>
      <c r="J19" s="1108"/>
      <c r="K19" s="1109"/>
      <c r="L19" s="1107"/>
      <c r="M19" s="1108"/>
      <c r="N19" s="1109"/>
      <c r="O19" s="1107"/>
      <c r="P19" s="1108"/>
      <c r="Q19" s="1109"/>
      <c r="R19" s="1107"/>
      <c r="S19" s="1108"/>
      <c r="T19" s="1109"/>
      <c r="U19" s="1107"/>
      <c r="V19" s="1108"/>
      <c r="W19" s="1109"/>
      <c r="X19" s="1107"/>
      <c r="Y19" s="1108"/>
      <c r="Z19" s="1109"/>
      <c r="AA19" s="1107"/>
      <c r="AB19" s="1108"/>
      <c r="AC19" s="1109"/>
      <c r="AD19" s="1107"/>
      <c r="AE19" s="1108"/>
      <c r="AF19" s="1109"/>
      <c r="AG19" s="1107"/>
      <c r="AH19" s="1108"/>
      <c r="AI19" s="1109"/>
      <c r="AJ19" s="1107"/>
      <c r="AK19" s="1108"/>
      <c r="AL19" s="1109"/>
      <c r="AM19" s="1107"/>
      <c r="AN19" s="1108"/>
      <c r="AO19" s="1109"/>
      <c r="AP19" s="1107"/>
      <c r="AQ19" s="1108"/>
      <c r="AR19" s="1109"/>
      <c r="AS19" s="1107"/>
      <c r="AT19" s="1108"/>
      <c r="AU19" s="1109"/>
      <c r="AV19" s="1107"/>
      <c r="AW19" s="1108"/>
      <c r="AX19" s="1109"/>
      <c r="AY19" s="1107"/>
      <c r="AZ19" s="1108"/>
      <c r="BA19" s="1109"/>
      <c r="BB19" s="1107"/>
      <c r="BC19" s="1108"/>
      <c r="BD19" s="1109"/>
      <c r="BE19" s="1107"/>
      <c r="BF19" s="1108"/>
      <c r="BG19" s="1109"/>
      <c r="BH19" s="1107"/>
      <c r="BI19" s="1108"/>
      <c r="BJ19" s="1109"/>
      <c r="BK19" s="1107"/>
      <c r="BL19" s="1108"/>
      <c r="BM19" s="1109"/>
      <c r="BN19" s="1107"/>
      <c r="BO19" s="1108"/>
      <c r="BP19" s="1109"/>
      <c r="BQ19" s="1107"/>
      <c r="BR19" s="1108"/>
      <c r="BS19" s="1109"/>
      <c r="BT19" s="1107"/>
      <c r="BU19" s="1108"/>
      <c r="BV19" s="1109"/>
      <c r="BW19" s="1107"/>
      <c r="BX19" s="1108"/>
      <c r="BY19" s="1109"/>
      <c r="BZ19" s="1107"/>
      <c r="CA19" s="1108"/>
      <c r="CB19" s="1109"/>
    </row>
    <row r="20" spans="1:80" ht="18" customHeight="1" thickBot="1" x14ac:dyDescent="0.3">
      <c r="A20" s="1023" t="s">
        <v>16</v>
      </c>
      <c r="B20" s="1024"/>
      <c r="C20" s="1025"/>
      <c r="D20" s="1032">
        <v>16</v>
      </c>
      <c r="E20" s="1023" t="s">
        <v>13</v>
      </c>
      <c r="F20" s="1025"/>
      <c r="G20" s="1035" t="s">
        <v>55</v>
      </c>
      <c r="H20" s="1036"/>
      <c r="I20" s="38">
        <f>I21*I24/I23</f>
        <v>21.428571428571427</v>
      </c>
      <c r="J20" s="39">
        <f>I20*I23/1000*0.8583</f>
        <v>2.1886649999999999</v>
      </c>
      <c r="K20" s="132">
        <f>I20*I23/1000*(1-0.8583)</f>
        <v>0.36133500000000007</v>
      </c>
      <c r="L20" s="38">
        <f>L21*L24/L23</f>
        <v>21.428571428571427</v>
      </c>
      <c r="M20" s="39">
        <f>L20*L23/1000*0.8583</f>
        <v>2.1886649999999999</v>
      </c>
      <c r="N20" s="132">
        <f>L20*L23/1000*(1-0.8583)</f>
        <v>0.36133500000000007</v>
      </c>
      <c r="O20" s="38">
        <f>O21*O24/O23</f>
        <v>21.428571428571427</v>
      </c>
      <c r="P20" s="39">
        <f>O20*O23/1000*0.8583</f>
        <v>2.1886649999999999</v>
      </c>
      <c r="Q20" s="132">
        <f>O20*O23/1000*(1-0.8583)</f>
        <v>0.36133500000000007</v>
      </c>
      <c r="R20" s="38">
        <f>R21*R24/R23</f>
        <v>21.428571428571427</v>
      </c>
      <c r="S20" s="39">
        <f>R20*R23/1000*0.8583</f>
        <v>2.1886649999999999</v>
      </c>
      <c r="T20" s="132">
        <f>R20*R23/1000*(1-0.8583)</f>
        <v>0.36133500000000007</v>
      </c>
      <c r="U20" s="38">
        <f>U21*U24/U23</f>
        <v>21.428571428571427</v>
      </c>
      <c r="V20" s="39">
        <f>U20*U23/1000*0.8583</f>
        <v>2.1886649999999999</v>
      </c>
      <c r="W20" s="132">
        <f>U20*U23/1000*(1-0.8583)</f>
        <v>0.36133500000000007</v>
      </c>
      <c r="X20" s="38">
        <f>X21*X24/X23</f>
        <v>21.428571428571427</v>
      </c>
      <c r="Y20" s="39">
        <f>X20*X23/1000*0.8583</f>
        <v>2.1886649999999999</v>
      </c>
      <c r="Z20" s="132">
        <f>X20*X23/1000*(1-0.8583)</f>
        <v>0.36133500000000007</v>
      </c>
      <c r="AA20" s="38">
        <f>AA21*AA24/AA23</f>
        <v>30.857142857142854</v>
      </c>
      <c r="AB20" s="39">
        <f>AA20*AA23/1000*0.8583</f>
        <v>3.1516775999999997</v>
      </c>
      <c r="AC20" s="132">
        <f>AA20*AA23/1000*(1-0.8583)</f>
        <v>0.52032240000000018</v>
      </c>
      <c r="AD20" s="38">
        <f>AD21*AD24/AD23</f>
        <v>30.857142857142854</v>
      </c>
      <c r="AE20" s="39">
        <f>AD20*AD23/1000*0.8583</f>
        <v>3.1516775999999997</v>
      </c>
      <c r="AF20" s="132">
        <f>AD20*AD23/1000*(1-0.8583)</f>
        <v>0.52032240000000018</v>
      </c>
      <c r="AG20" s="38">
        <f>AG21*AG24/AG23</f>
        <v>30.857142857142854</v>
      </c>
      <c r="AH20" s="39">
        <f>AG20*AG23/1000*0.8583</f>
        <v>3.1516775999999997</v>
      </c>
      <c r="AI20" s="132">
        <f>AG20*AG23/1000*(1-0.8583)</f>
        <v>0.52032240000000018</v>
      </c>
      <c r="AJ20" s="38">
        <f>AJ21*AJ24/AJ23</f>
        <v>30.857142857142854</v>
      </c>
      <c r="AK20" s="39">
        <f>AJ20*AJ23/1000*0.8583</f>
        <v>3.1516775999999997</v>
      </c>
      <c r="AL20" s="132">
        <f>AJ20*AJ23/1000*(1-0.8583)</f>
        <v>0.52032240000000018</v>
      </c>
      <c r="AM20" s="38">
        <f>AM21*AM24/AM23</f>
        <v>30.857142857142854</v>
      </c>
      <c r="AN20" s="39">
        <f>AM20*AM23/1000*0.8583</f>
        <v>3.1516775999999997</v>
      </c>
      <c r="AO20" s="132">
        <f>AM20*AM23/1000*(1-0.8583)</f>
        <v>0.52032240000000018</v>
      </c>
      <c r="AP20" s="38">
        <f>AP21*AP24/AP23</f>
        <v>30.857142857142854</v>
      </c>
      <c r="AQ20" s="39">
        <f>AP20*AP23/1000*0.8583</f>
        <v>3.1516775999999997</v>
      </c>
      <c r="AR20" s="132">
        <f>AP20*AP23/1000*(1-0.8583)</f>
        <v>0.52032240000000018</v>
      </c>
      <c r="AS20" s="38">
        <f>AS21*AS24/AS23</f>
        <v>30.857142857142854</v>
      </c>
      <c r="AT20" s="39">
        <f>AS20*AS23/1000*0.8583</f>
        <v>3.1516775999999997</v>
      </c>
      <c r="AU20" s="132">
        <f>AS20*AS23/1000*(1-0.8583)</f>
        <v>0.52032240000000018</v>
      </c>
      <c r="AV20" s="38">
        <f>AV21*AV24/AV23</f>
        <v>30.857142857142854</v>
      </c>
      <c r="AW20" s="39">
        <f>AV20*AV23/1000*0.8583</f>
        <v>3.1516775999999997</v>
      </c>
      <c r="AX20" s="132">
        <f>AV20*AV23/1000*(1-0.8583)</f>
        <v>0.52032240000000018</v>
      </c>
      <c r="AY20" s="38">
        <f>AY21*AY24/AY23</f>
        <v>30.857142857142854</v>
      </c>
      <c r="AZ20" s="39">
        <f>AY20*AY23/1000*0.8583</f>
        <v>3.1516775999999997</v>
      </c>
      <c r="BA20" s="132">
        <f>AY20*AY23/1000*(1-0.8583)</f>
        <v>0.52032240000000018</v>
      </c>
      <c r="BB20" s="38">
        <f>BB21*BB24/BB23</f>
        <v>30.857142857142854</v>
      </c>
      <c r="BC20" s="39">
        <f>BB20*BB23/1000*0.8583</f>
        <v>3.1516775999999997</v>
      </c>
      <c r="BD20" s="132">
        <f>BB20*BB23/1000*(1-0.8583)</f>
        <v>0.52032240000000018</v>
      </c>
      <c r="BE20" s="38">
        <f>BE21*BE24/BE23</f>
        <v>30.857142857142854</v>
      </c>
      <c r="BF20" s="39">
        <f>BE20*BE23/1000*0.8583</f>
        <v>3.1516775999999997</v>
      </c>
      <c r="BG20" s="132">
        <f>BE20*BE23/1000*(1-0.8583)</f>
        <v>0.52032240000000018</v>
      </c>
      <c r="BH20" s="38">
        <f>BH21*BH24/BH23</f>
        <v>30.857142857142854</v>
      </c>
      <c r="BI20" s="39">
        <f>BH20*BH23/1000*0.8583</f>
        <v>3.1516775999999997</v>
      </c>
      <c r="BJ20" s="132">
        <f>BH20*BH23/1000*(1-0.8583)</f>
        <v>0.52032240000000018</v>
      </c>
      <c r="BK20" s="38">
        <f>BK21*BK24/BK23</f>
        <v>27</v>
      </c>
      <c r="BL20" s="39">
        <f>BK20*BK23/1000*0.8583</f>
        <v>2.7577178999999998</v>
      </c>
      <c r="BM20" s="132">
        <f>BK20*BK23/1000*(1-0.8583)</f>
        <v>0.45528210000000019</v>
      </c>
      <c r="BN20" s="38">
        <f>BN21*BN24/BN23</f>
        <v>27</v>
      </c>
      <c r="BO20" s="39">
        <f>BN20*BN23/1000*0.8583</f>
        <v>2.7577178999999998</v>
      </c>
      <c r="BP20" s="132">
        <f>BN20*BN23/1000*(1-0.8583)</f>
        <v>0.45528210000000019</v>
      </c>
      <c r="BQ20" s="38">
        <f>BQ21*BQ24/BQ23</f>
        <v>27</v>
      </c>
      <c r="BR20" s="39">
        <f>BQ20*BQ23/1000*0.8583</f>
        <v>2.7577178999999998</v>
      </c>
      <c r="BS20" s="132">
        <f>BQ20*BQ23/1000*(1-0.8583)</f>
        <v>0.45528210000000019</v>
      </c>
      <c r="BT20" s="38">
        <f>BT21*BT24/BT23</f>
        <v>20.571428571428573</v>
      </c>
      <c r="BU20" s="39">
        <f>BT20*BT23/1000*0.8583</f>
        <v>2.1011183999999998</v>
      </c>
      <c r="BV20" s="132">
        <f>BT20*BT23/1000*(1-0.8583)</f>
        <v>0.34688160000000012</v>
      </c>
      <c r="BW20" s="38">
        <f>BW21*BW24/BW23</f>
        <v>20.571428571428573</v>
      </c>
      <c r="BX20" s="39">
        <f>BW20*BW23/1000*0.8583</f>
        <v>2.1011183999999998</v>
      </c>
      <c r="BY20" s="132">
        <f>BW20*BW23/1000*(1-0.8583)</f>
        <v>0.34688160000000012</v>
      </c>
      <c r="BZ20" s="38">
        <f>BZ21*BZ24/BZ23</f>
        <v>20.571428571428573</v>
      </c>
      <c r="CA20" s="39">
        <f>BZ20*BZ23/1000*0.8583</f>
        <v>2.1011183999999998</v>
      </c>
      <c r="CB20" s="132">
        <f>BZ20*BZ23/1000*(1-0.8583)</f>
        <v>0.34688160000000012</v>
      </c>
    </row>
    <row r="21" spans="1:80" ht="18" customHeight="1" thickBot="1" x14ac:dyDescent="0.3">
      <c r="A21" s="1026"/>
      <c r="B21" s="1027"/>
      <c r="C21" s="1028"/>
      <c r="D21" s="1033"/>
      <c r="E21" s="1026"/>
      <c r="F21" s="1028"/>
      <c r="G21" s="1023" t="s">
        <v>46</v>
      </c>
      <c r="H21" s="1025"/>
      <c r="I21" s="62">
        <v>250</v>
      </c>
      <c r="J21" s="63">
        <f>I21*I24/1000*0.918</f>
        <v>2.3409</v>
      </c>
      <c r="K21" s="133">
        <f>I21*I24/1000*0.918</f>
        <v>2.3409</v>
      </c>
      <c r="L21" s="62">
        <v>250</v>
      </c>
      <c r="M21" s="63">
        <f>L21*L24/1000*0.918</f>
        <v>2.3409</v>
      </c>
      <c r="N21" s="133">
        <f>L21*L24/1000*0.918</f>
        <v>2.3409</v>
      </c>
      <c r="O21" s="62">
        <v>250</v>
      </c>
      <c r="P21" s="63">
        <f>O21*O24/1000*0.918</f>
        <v>2.3409</v>
      </c>
      <c r="Q21" s="133">
        <f>O21*O24/1000*0.918</f>
        <v>2.3409</v>
      </c>
      <c r="R21" s="62">
        <v>250</v>
      </c>
      <c r="S21" s="63">
        <f>R21*R24/1000*0.918</f>
        <v>2.3409</v>
      </c>
      <c r="T21" s="133">
        <f>R21*R24/1000*0.918</f>
        <v>2.3409</v>
      </c>
      <c r="U21" s="62">
        <v>250</v>
      </c>
      <c r="V21" s="63">
        <f>U21*U24/1000*0.918</f>
        <v>2.3409</v>
      </c>
      <c r="W21" s="133">
        <f>U21*U24/1000*0.918</f>
        <v>2.3409</v>
      </c>
      <c r="X21" s="62">
        <v>250</v>
      </c>
      <c r="Y21" s="63">
        <f>X21*X24/1000*0.918</f>
        <v>2.3409</v>
      </c>
      <c r="Z21" s="133">
        <f>X21*X24/1000*0.918</f>
        <v>2.3409</v>
      </c>
      <c r="AA21" s="62">
        <v>360</v>
      </c>
      <c r="AB21" s="63">
        <f>AA21*AA24/1000*0.918</f>
        <v>3.3708959999999997</v>
      </c>
      <c r="AC21" s="133">
        <f>AA21*AA24/1000*0.918</f>
        <v>3.3708959999999997</v>
      </c>
      <c r="AD21" s="62">
        <v>360</v>
      </c>
      <c r="AE21" s="63">
        <f>AD21*AD24/1000*0.918</f>
        <v>3.3708959999999997</v>
      </c>
      <c r="AF21" s="133">
        <f>AD21*AD24/1000*0.918</f>
        <v>3.3708959999999997</v>
      </c>
      <c r="AG21" s="62">
        <v>360</v>
      </c>
      <c r="AH21" s="63">
        <f>AG21*AG24/1000*0.918</f>
        <v>3.3708959999999997</v>
      </c>
      <c r="AI21" s="133">
        <f>AG21*AG24/1000*0.918</f>
        <v>3.3708959999999997</v>
      </c>
      <c r="AJ21" s="62">
        <v>360</v>
      </c>
      <c r="AK21" s="63">
        <f>AJ21*AJ24/1000*0.918</f>
        <v>3.3708959999999997</v>
      </c>
      <c r="AL21" s="133">
        <f>AJ21*AJ24/1000*0.918</f>
        <v>3.3708959999999997</v>
      </c>
      <c r="AM21" s="62">
        <v>360</v>
      </c>
      <c r="AN21" s="63">
        <f>AM21*AM24/1000*0.918</f>
        <v>3.3708959999999997</v>
      </c>
      <c r="AO21" s="133">
        <f>AM21*AM24/1000*0.918</f>
        <v>3.3708959999999997</v>
      </c>
      <c r="AP21" s="62">
        <v>360</v>
      </c>
      <c r="AQ21" s="63">
        <f>AP21*AP24/1000*0.918</f>
        <v>3.3708959999999997</v>
      </c>
      <c r="AR21" s="133">
        <f>AP21*AP24/1000*0.918</f>
        <v>3.3708959999999997</v>
      </c>
      <c r="AS21" s="62">
        <v>360</v>
      </c>
      <c r="AT21" s="63">
        <f>AS21*AS24/1000*0.918</f>
        <v>3.3708959999999997</v>
      </c>
      <c r="AU21" s="133">
        <f>AS21*AS24/1000*0.918</f>
        <v>3.3708959999999997</v>
      </c>
      <c r="AV21" s="62">
        <v>360</v>
      </c>
      <c r="AW21" s="63">
        <f>AV21*AV24/1000*0.918</f>
        <v>3.3708959999999997</v>
      </c>
      <c r="AX21" s="133">
        <f>AV21*AV24/1000*0.918</f>
        <v>3.3708959999999997</v>
      </c>
      <c r="AY21" s="62">
        <v>360</v>
      </c>
      <c r="AZ21" s="63">
        <f>AY21*AY24/1000*0.918</f>
        <v>3.3708959999999997</v>
      </c>
      <c r="BA21" s="133">
        <f>AY21*AY24/1000*0.918</f>
        <v>3.3708959999999997</v>
      </c>
      <c r="BB21" s="62">
        <v>360</v>
      </c>
      <c r="BC21" s="63">
        <f>BB21*BB24/1000*0.918</f>
        <v>3.3708959999999997</v>
      </c>
      <c r="BD21" s="133">
        <f>BB21*BB24/1000*0.918</f>
        <v>3.3708959999999997</v>
      </c>
      <c r="BE21" s="62">
        <v>360</v>
      </c>
      <c r="BF21" s="63">
        <f>BE21*BE24/1000*0.918</f>
        <v>3.3708959999999997</v>
      </c>
      <c r="BG21" s="133">
        <f>BE21*BE24/1000*0.918</f>
        <v>3.3708959999999997</v>
      </c>
      <c r="BH21" s="62">
        <v>360</v>
      </c>
      <c r="BI21" s="63">
        <f>BH21*BH24/1000*0.918</f>
        <v>3.3708959999999997</v>
      </c>
      <c r="BJ21" s="133">
        <f>BH21*BH24/1000*0.918</f>
        <v>3.3708959999999997</v>
      </c>
      <c r="BK21" s="62">
        <v>315</v>
      </c>
      <c r="BL21" s="63">
        <f>BK21*BK24/1000*0.918</f>
        <v>2.9495340000000003</v>
      </c>
      <c r="BM21" s="133">
        <f>BK21*BK24/1000*0.918</f>
        <v>2.9495340000000003</v>
      </c>
      <c r="BN21" s="62">
        <v>315</v>
      </c>
      <c r="BO21" s="63">
        <f>BN21*BN24/1000*0.918</f>
        <v>2.9495340000000003</v>
      </c>
      <c r="BP21" s="133">
        <f>BN21*BN24/1000*0.918</f>
        <v>2.9495340000000003</v>
      </c>
      <c r="BQ21" s="62">
        <v>315</v>
      </c>
      <c r="BR21" s="63">
        <f>BQ21*BQ24/1000*0.918</f>
        <v>2.9495340000000003</v>
      </c>
      <c r="BS21" s="133">
        <f>BQ21*BQ24/1000*0.918</f>
        <v>2.9495340000000003</v>
      </c>
      <c r="BT21" s="62">
        <v>240</v>
      </c>
      <c r="BU21" s="63">
        <f>BT21*BT24/1000*0.918</f>
        <v>2.2472639999999999</v>
      </c>
      <c r="BV21" s="133">
        <f>BT21*BT24/1000*0.918</f>
        <v>2.2472639999999999</v>
      </c>
      <c r="BW21" s="62">
        <v>240</v>
      </c>
      <c r="BX21" s="63">
        <f>BW21*BW24/1000*0.918</f>
        <v>2.2472639999999999</v>
      </c>
      <c r="BY21" s="133">
        <f>BW21*BW24/1000*0.918</f>
        <v>2.2472639999999999</v>
      </c>
      <c r="BZ21" s="62">
        <v>240</v>
      </c>
      <c r="CA21" s="63">
        <f>BZ21*BZ24/1000*0.918</f>
        <v>2.2472639999999999</v>
      </c>
      <c r="CB21" s="133">
        <f>BZ21*BZ24/1000*0.918</f>
        <v>2.2472639999999999</v>
      </c>
    </row>
    <row r="22" spans="1:80" ht="18" customHeight="1" thickBot="1" x14ac:dyDescent="0.3">
      <c r="A22" s="1026"/>
      <c r="B22" s="1027"/>
      <c r="C22" s="1028"/>
      <c r="D22" s="1033"/>
      <c r="E22" s="1037" t="s">
        <v>15</v>
      </c>
      <c r="F22" s="1038"/>
      <c r="G22" s="1037"/>
      <c r="H22" s="1039"/>
      <c r="I22" s="1107">
        <v>3</v>
      </c>
      <c r="J22" s="1108"/>
      <c r="K22" s="1109"/>
      <c r="L22" s="1107">
        <v>3</v>
      </c>
      <c r="M22" s="1108"/>
      <c r="N22" s="1109"/>
      <c r="O22" s="1107">
        <v>3</v>
      </c>
      <c r="P22" s="1108"/>
      <c r="Q22" s="1109"/>
      <c r="R22" s="1107">
        <v>3</v>
      </c>
      <c r="S22" s="1108"/>
      <c r="T22" s="1109"/>
      <c r="U22" s="1107">
        <v>3</v>
      </c>
      <c r="V22" s="1108"/>
      <c r="W22" s="1109"/>
      <c r="X22" s="1107">
        <v>3</v>
      </c>
      <c r="Y22" s="1108"/>
      <c r="Z22" s="1109"/>
      <c r="AA22" s="1107">
        <v>3</v>
      </c>
      <c r="AB22" s="1108"/>
      <c r="AC22" s="1109"/>
      <c r="AD22" s="1107">
        <v>3</v>
      </c>
      <c r="AE22" s="1108"/>
      <c r="AF22" s="1109"/>
      <c r="AG22" s="1107">
        <v>3</v>
      </c>
      <c r="AH22" s="1108"/>
      <c r="AI22" s="1109"/>
      <c r="AJ22" s="1107">
        <v>3</v>
      </c>
      <c r="AK22" s="1108"/>
      <c r="AL22" s="1109"/>
      <c r="AM22" s="1107">
        <v>3</v>
      </c>
      <c r="AN22" s="1108"/>
      <c r="AO22" s="1109"/>
      <c r="AP22" s="1107">
        <v>3</v>
      </c>
      <c r="AQ22" s="1108"/>
      <c r="AR22" s="1109"/>
      <c r="AS22" s="1107">
        <v>3</v>
      </c>
      <c r="AT22" s="1108"/>
      <c r="AU22" s="1109"/>
      <c r="AV22" s="1107">
        <v>3</v>
      </c>
      <c r="AW22" s="1108"/>
      <c r="AX22" s="1109"/>
      <c r="AY22" s="1107">
        <v>3</v>
      </c>
      <c r="AZ22" s="1108"/>
      <c r="BA22" s="1109"/>
      <c r="BB22" s="1107">
        <v>3</v>
      </c>
      <c r="BC22" s="1108"/>
      <c r="BD22" s="1109"/>
      <c r="BE22" s="1107">
        <v>3</v>
      </c>
      <c r="BF22" s="1108"/>
      <c r="BG22" s="1109"/>
      <c r="BH22" s="1107">
        <v>3</v>
      </c>
      <c r="BI22" s="1108"/>
      <c r="BJ22" s="1109"/>
      <c r="BK22" s="1107">
        <v>3</v>
      </c>
      <c r="BL22" s="1108"/>
      <c r="BM22" s="1109"/>
      <c r="BN22" s="1107">
        <v>3</v>
      </c>
      <c r="BO22" s="1108"/>
      <c r="BP22" s="1109"/>
      <c r="BQ22" s="1107">
        <v>3</v>
      </c>
      <c r="BR22" s="1108"/>
      <c r="BS22" s="1109"/>
      <c r="BT22" s="1107">
        <v>3</v>
      </c>
      <c r="BU22" s="1108"/>
      <c r="BV22" s="1109"/>
      <c r="BW22" s="1107">
        <v>3</v>
      </c>
      <c r="BX22" s="1108"/>
      <c r="BY22" s="1109"/>
      <c r="BZ22" s="1107">
        <v>3</v>
      </c>
      <c r="CA22" s="1108"/>
      <c r="CB22" s="1109"/>
    </row>
    <row r="23" spans="1:80" ht="18" customHeight="1" thickBot="1" x14ac:dyDescent="0.3">
      <c r="A23" s="1026"/>
      <c r="B23" s="1027"/>
      <c r="C23" s="1028"/>
      <c r="D23" s="1033"/>
      <c r="E23" s="1023" t="s">
        <v>14</v>
      </c>
      <c r="F23" s="1025"/>
      <c r="G23" s="1035" t="s">
        <v>55</v>
      </c>
      <c r="H23" s="1036"/>
      <c r="I23" s="998">
        <v>119</v>
      </c>
      <c r="J23" s="999"/>
      <c r="K23" s="1000"/>
      <c r="L23" s="998">
        <v>119</v>
      </c>
      <c r="M23" s="999"/>
      <c r="N23" s="1000"/>
      <c r="O23" s="998">
        <v>119</v>
      </c>
      <c r="P23" s="999"/>
      <c r="Q23" s="1000"/>
      <c r="R23" s="998">
        <v>119</v>
      </c>
      <c r="S23" s="999"/>
      <c r="T23" s="1000"/>
      <c r="U23" s="998">
        <v>119</v>
      </c>
      <c r="V23" s="999"/>
      <c r="W23" s="1000"/>
      <c r="X23" s="998">
        <v>119</v>
      </c>
      <c r="Y23" s="999"/>
      <c r="Z23" s="1000"/>
      <c r="AA23" s="998">
        <v>119</v>
      </c>
      <c r="AB23" s="999"/>
      <c r="AC23" s="1000"/>
      <c r="AD23" s="998">
        <v>119</v>
      </c>
      <c r="AE23" s="999"/>
      <c r="AF23" s="1000"/>
      <c r="AG23" s="998">
        <v>119</v>
      </c>
      <c r="AH23" s="999"/>
      <c r="AI23" s="1000"/>
      <c r="AJ23" s="998">
        <v>119</v>
      </c>
      <c r="AK23" s="999"/>
      <c r="AL23" s="1000"/>
      <c r="AM23" s="998">
        <v>119</v>
      </c>
      <c r="AN23" s="999"/>
      <c r="AO23" s="1000"/>
      <c r="AP23" s="998">
        <v>119</v>
      </c>
      <c r="AQ23" s="999"/>
      <c r="AR23" s="1000"/>
      <c r="AS23" s="998">
        <v>119</v>
      </c>
      <c r="AT23" s="999"/>
      <c r="AU23" s="1000"/>
      <c r="AV23" s="998">
        <v>119</v>
      </c>
      <c r="AW23" s="999"/>
      <c r="AX23" s="1000"/>
      <c r="AY23" s="998">
        <v>119</v>
      </c>
      <c r="AZ23" s="999"/>
      <c r="BA23" s="1000"/>
      <c r="BB23" s="998">
        <v>119</v>
      </c>
      <c r="BC23" s="999"/>
      <c r="BD23" s="1000"/>
      <c r="BE23" s="998">
        <v>119</v>
      </c>
      <c r="BF23" s="999"/>
      <c r="BG23" s="1000"/>
      <c r="BH23" s="998">
        <v>119</v>
      </c>
      <c r="BI23" s="999"/>
      <c r="BJ23" s="1000"/>
      <c r="BK23" s="998">
        <v>119</v>
      </c>
      <c r="BL23" s="999"/>
      <c r="BM23" s="1000"/>
      <c r="BN23" s="998">
        <v>119</v>
      </c>
      <c r="BO23" s="999"/>
      <c r="BP23" s="1000"/>
      <c r="BQ23" s="998">
        <v>119</v>
      </c>
      <c r="BR23" s="999"/>
      <c r="BS23" s="1000"/>
      <c r="BT23" s="998">
        <v>119</v>
      </c>
      <c r="BU23" s="999"/>
      <c r="BV23" s="1000"/>
      <c r="BW23" s="998">
        <v>119</v>
      </c>
      <c r="BX23" s="999"/>
      <c r="BY23" s="1000"/>
      <c r="BZ23" s="998">
        <v>119</v>
      </c>
      <c r="CA23" s="999"/>
      <c r="CB23" s="1000"/>
    </row>
    <row r="24" spans="1:80" ht="18" customHeight="1" thickBot="1" x14ac:dyDescent="0.3">
      <c r="A24" s="1026"/>
      <c r="B24" s="1027"/>
      <c r="C24" s="1028"/>
      <c r="D24" s="1033"/>
      <c r="E24" s="1026"/>
      <c r="F24" s="1028"/>
      <c r="G24" s="1023" t="s">
        <v>46</v>
      </c>
      <c r="H24" s="1025"/>
      <c r="I24" s="1076">
        <v>10.199999999999999</v>
      </c>
      <c r="J24" s="1077"/>
      <c r="K24" s="1078"/>
      <c r="L24" s="1076">
        <v>10.199999999999999</v>
      </c>
      <c r="M24" s="1077"/>
      <c r="N24" s="1078"/>
      <c r="O24" s="1076">
        <v>10.199999999999999</v>
      </c>
      <c r="P24" s="1077"/>
      <c r="Q24" s="1078"/>
      <c r="R24" s="1076">
        <v>10.199999999999999</v>
      </c>
      <c r="S24" s="1077"/>
      <c r="T24" s="1078"/>
      <c r="U24" s="1076">
        <v>10.199999999999999</v>
      </c>
      <c r="V24" s="1077"/>
      <c r="W24" s="1078"/>
      <c r="X24" s="1076">
        <v>10.199999999999999</v>
      </c>
      <c r="Y24" s="1077"/>
      <c r="Z24" s="1078"/>
      <c r="AA24" s="1076">
        <v>10.199999999999999</v>
      </c>
      <c r="AB24" s="1077"/>
      <c r="AC24" s="1078"/>
      <c r="AD24" s="1076">
        <v>10.199999999999999</v>
      </c>
      <c r="AE24" s="1077"/>
      <c r="AF24" s="1078"/>
      <c r="AG24" s="1076">
        <v>10.199999999999999</v>
      </c>
      <c r="AH24" s="1077"/>
      <c r="AI24" s="1078"/>
      <c r="AJ24" s="1076">
        <v>10.199999999999999</v>
      </c>
      <c r="AK24" s="1077"/>
      <c r="AL24" s="1078"/>
      <c r="AM24" s="1076">
        <v>10.199999999999999</v>
      </c>
      <c r="AN24" s="1077"/>
      <c r="AO24" s="1078"/>
      <c r="AP24" s="1076">
        <v>10.199999999999999</v>
      </c>
      <c r="AQ24" s="1077"/>
      <c r="AR24" s="1078"/>
      <c r="AS24" s="1076">
        <v>10.199999999999999</v>
      </c>
      <c r="AT24" s="1077"/>
      <c r="AU24" s="1078"/>
      <c r="AV24" s="1076">
        <v>10.199999999999999</v>
      </c>
      <c r="AW24" s="1077"/>
      <c r="AX24" s="1078"/>
      <c r="AY24" s="1076">
        <v>10.199999999999999</v>
      </c>
      <c r="AZ24" s="1077"/>
      <c r="BA24" s="1078"/>
      <c r="BB24" s="1076">
        <v>10.199999999999999</v>
      </c>
      <c r="BC24" s="1077"/>
      <c r="BD24" s="1078"/>
      <c r="BE24" s="1076">
        <v>10.199999999999999</v>
      </c>
      <c r="BF24" s="1077"/>
      <c r="BG24" s="1078"/>
      <c r="BH24" s="1076">
        <v>10.199999999999999</v>
      </c>
      <c r="BI24" s="1077"/>
      <c r="BJ24" s="1078"/>
      <c r="BK24" s="1076">
        <v>10.199999999999999</v>
      </c>
      <c r="BL24" s="1077"/>
      <c r="BM24" s="1078"/>
      <c r="BN24" s="1076">
        <v>10.199999999999999</v>
      </c>
      <c r="BO24" s="1077"/>
      <c r="BP24" s="1078"/>
      <c r="BQ24" s="1076">
        <v>10.199999999999999</v>
      </c>
      <c r="BR24" s="1077"/>
      <c r="BS24" s="1078"/>
      <c r="BT24" s="1076">
        <v>10.199999999999999</v>
      </c>
      <c r="BU24" s="1077"/>
      <c r="BV24" s="1078"/>
      <c r="BW24" s="1076">
        <v>10.199999999999999</v>
      </c>
      <c r="BX24" s="1077"/>
      <c r="BY24" s="1078"/>
      <c r="BZ24" s="1076">
        <v>10.199999999999999</v>
      </c>
      <c r="CA24" s="1077"/>
      <c r="CB24" s="1078"/>
    </row>
    <row r="25" spans="1:80" ht="18" customHeight="1" thickBot="1" x14ac:dyDescent="0.3">
      <c r="A25" s="1029"/>
      <c r="B25" s="1030"/>
      <c r="C25" s="1031"/>
      <c r="D25" s="1034"/>
      <c r="E25" s="1037" t="s">
        <v>31</v>
      </c>
      <c r="F25" s="1038"/>
      <c r="G25" s="1037"/>
      <c r="H25" s="1039"/>
      <c r="I25" s="1107"/>
      <c r="J25" s="1108"/>
      <c r="K25" s="1109"/>
      <c r="L25" s="1107"/>
      <c r="M25" s="1108"/>
      <c r="N25" s="1109"/>
      <c r="O25" s="1107"/>
      <c r="P25" s="1108"/>
      <c r="Q25" s="1109"/>
      <c r="R25" s="1107"/>
      <c r="S25" s="1108"/>
      <c r="T25" s="1109"/>
      <c r="U25" s="1107"/>
      <c r="V25" s="1108"/>
      <c r="W25" s="1109"/>
      <c r="X25" s="1107"/>
      <c r="Y25" s="1108"/>
      <c r="Z25" s="1109"/>
      <c r="AA25" s="1107"/>
      <c r="AB25" s="1108"/>
      <c r="AC25" s="1109"/>
      <c r="AD25" s="1107"/>
      <c r="AE25" s="1108"/>
      <c r="AF25" s="1109"/>
      <c r="AG25" s="1107"/>
      <c r="AH25" s="1108"/>
      <c r="AI25" s="1109"/>
      <c r="AJ25" s="1107"/>
      <c r="AK25" s="1108"/>
      <c r="AL25" s="1109"/>
      <c r="AM25" s="1107"/>
      <c r="AN25" s="1108"/>
      <c r="AO25" s="1109"/>
      <c r="AP25" s="1107"/>
      <c r="AQ25" s="1108"/>
      <c r="AR25" s="1109"/>
      <c r="AS25" s="1107"/>
      <c r="AT25" s="1108"/>
      <c r="AU25" s="1109"/>
      <c r="AV25" s="1107"/>
      <c r="AW25" s="1108"/>
      <c r="AX25" s="1109"/>
      <c r="AY25" s="1107"/>
      <c r="AZ25" s="1108"/>
      <c r="BA25" s="1109"/>
      <c r="BB25" s="1107"/>
      <c r="BC25" s="1108"/>
      <c r="BD25" s="1109"/>
      <c r="BE25" s="1107"/>
      <c r="BF25" s="1108"/>
      <c r="BG25" s="1109"/>
      <c r="BH25" s="1107"/>
      <c r="BI25" s="1108"/>
      <c r="BJ25" s="1109"/>
      <c r="BK25" s="1107"/>
      <c r="BL25" s="1108"/>
      <c r="BM25" s="1109"/>
      <c r="BN25" s="1107"/>
      <c r="BO25" s="1108"/>
      <c r="BP25" s="1109"/>
      <c r="BQ25" s="1107"/>
      <c r="BR25" s="1108"/>
      <c r="BS25" s="1109"/>
      <c r="BT25" s="1107"/>
      <c r="BU25" s="1108"/>
      <c r="BV25" s="1109"/>
      <c r="BW25" s="1107"/>
      <c r="BX25" s="1108"/>
      <c r="BY25" s="1109"/>
      <c r="BZ25" s="1107"/>
      <c r="CA25" s="1108"/>
      <c r="CB25" s="1109"/>
    </row>
    <row r="26" spans="1:80" ht="6.75" customHeight="1" x14ac:dyDescent="0.2">
      <c r="A26" s="1023" t="s">
        <v>17</v>
      </c>
      <c r="B26" s="1024"/>
      <c r="C26" s="1025"/>
      <c r="D26" s="1032">
        <v>6.3E-2</v>
      </c>
      <c r="E26" s="1023" t="s">
        <v>13</v>
      </c>
      <c r="F26" s="1025"/>
      <c r="G26" s="1023" t="s">
        <v>47</v>
      </c>
      <c r="H26" s="1024"/>
      <c r="I26" s="1091">
        <v>20</v>
      </c>
      <c r="J26" s="1120">
        <f>I26*I29/1000000*0.8235</f>
        <v>6.5550599999999997E-3</v>
      </c>
      <c r="K26" s="1123">
        <f>I26*I29/1000000*(1-0.8235)</f>
        <v>1.4049399999999999E-3</v>
      </c>
      <c r="L26" s="1091">
        <v>20</v>
      </c>
      <c r="M26" s="1120">
        <f>L26*L29/1000000*0.8235</f>
        <v>6.5550599999999997E-3</v>
      </c>
      <c r="N26" s="1123">
        <f>L26*L29/1000000*(1-0.8235)</f>
        <v>1.4049399999999999E-3</v>
      </c>
      <c r="O26" s="1091">
        <v>20</v>
      </c>
      <c r="P26" s="1120">
        <f>O26*O29/1000000*0.8235</f>
        <v>6.5550599999999997E-3</v>
      </c>
      <c r="Q26" s="1123">
        <f>O26*O29/1000000*(1-0.8235)</f>
        <v>1.4049399999999999E-3</v>
      </c>
      <c r="R26" s="1091">
        <v>20</v>
      </c>
      <c r="S26" s="1120">
        <f>R26*R29/1000000*0.8235</f>
        <v>6.5550599999999997E-3</v>
      </c>
      <c r="T26" s="1123">
        <f>R26*R29/1000000*(1-0.8235)</f>
        <v>1.4049399999999999E-3</v>
      </c>
      <c r="U26" s="1091">
        <v>20</v>
      </c>
      <c r="V26" s="1120">
        <f>U26*U29/1000000*0.8235</f>
        <v>6.5550599999999997E-3</v>
      </c>
      <c r="W26" s="1123">
        <f>U26*U29/1000000*(1-0.8235)</f>
        <v>1.4049399999999999E-3</v>
      </c>
      <c r="X26" s="1091">
        <v>20</v>
      </c>
      <c r="Y26" s="1120">
        <f>X26*X29/1000000*0.8235</f>
        <v>6.5550599999999997E-3</v>
      </c>
      <c r="Z26" s="1123">
        <f>X26*X29/1000000*(1-0.8235)</f>
        <v>1.4049399999999999E-3</v>
      </c>
      <c r="AA26" s="1091">
        <v>20</v>
      </c>
      <c r="AB26" s="1120">
        <f>AA26*AA29/1000000*0.8235</f>
        <v>6.5550599999999997E-3</v>
      </c>
      <c r="AC26" s="1123">
        <f>AA26*AA29/1000000*(1-0.8235)</f>
        <v>1.4049399999999999E-3</v>
      </c>
      <c r="AD26" s="1091">
        <v>20</v>
      </c>
      <c r="AE26" s="1120">
        <f>AD26*AD29/1000000*0.8235</f>
        <v>6.5550599999999997E-3</v>
      </c>
      <c r="AF26" s="1123">
        <f>AD26*AD29/1000000*(1-0.8235)</f>
        <v>1.4049399999999999E-3</v>
      </c>
      <c r="AG26" s="1091">
        <v>20</v>
      </c>
      <c r="AH26" s="1120">
        <f>AG26*AG29/1000000*0.8235</f>
        <v>6.5550599999999997E-3</v>
      </c>
      <c r="AI26" s="1123">
        <f>AG26*AG29/1000000*(1-0.8235)</f>
        <v>1.4049399999999999E-3</v>
      </c>
      <c r="AJ26" s="1091">
        <v>20</v>
      </c>
      <c r="AK26" s="1120">
        <f>AJ26*AJ29/1000000*0.8235</f>
        <v>6.5550599999999997E-3</v>
      </c>
      <c r="AL26" s="1123">
        <f>AJ26*AJ29/1000000*(1-0.8235)</f>
        <v>1.4049399999999999E-3</v>
      </c>
      <c r="AM26" s="1091">
        <v>20</v>
      </c>
      <c r="AN26" s="1120">
        <f>AM26*AM29/1000000*0.8235</f>
        <v>6.5550599999999997E-3</v>
      </c>
      <c r="AO26" s="1123">
        <f>AM26*AM29/1000000*(1-0.8235)</f>
        <v>1.4049399999999999E-3</v>
      </c>
      <c r="AP26" s="1091">
        <v>0</v>
      </c>
      <c r="AQ26" s="1120">
        <f>AP26*AP29/1000000*0.8235</f>
        <v>0</v>
      </c>
      <c r="AR26" s="1123">
        <f>AP26*AP29/1000000*(1-0.8235)</f>
        <v>0</v>
      </c>
      <c r="AS26" s="1091">
        <v>0</v>
      </c>
      <c r="AT26" s="1120">
        <f>AS26*AS29/1000000*0.8235</f>
        <v>0</v>
      </c>
      <c r="AU26" s="1123">
        <f>AS26*AS29/1000000*(1-0.8235)</f>
        <v>0</v>
      </c>
      <c r="AV26" s="1091">
        <v>0</v>
      </c>
      <c r="AW26" s="1120">
        <f>AV26*AV29/1000000*0.8235</f>
        <v>0</v>
      </c>
      <c r="AX26" s="1123">
        <f>AV26*AV29/1000000*(1-0.8235)</f>
        <v>0</v>
      </c>
      <c r="AY26" s="1091">
        <v>0</v>
      </c>
      <c r="AZ26" s="1120">
        <f>AY26*AY29/1000000*0.8235</f>
        <v>0</v>
      </c>
      <c r="BA26" s="1123">
        <f>AY26*AY29/1000000*(1-0.8235)</f>
        <v>0</v>
      </c>
      <c r="BB26" s="1091">
        <v>0</v>
      </c>
      <c r="BC26" s="1120">
        <f>BB26*BB29/1000000*0.8235</f>
        <v>0</v>
      </c>
      <c r="BD26" s="1123">
        <f>BB26*BB29/1000000*(1-0.8235)</f>
        <v>0</v>
      </c>
      <c r="BE26" s="1091">
        <v>0</v>
      </c>
      <c r="BF26" s="1120">
        <f>BE26*BE29/1000000*0.8235</f>
        <v>0</v>
      </c>
      <c r="BG26" s="1123">
        <f>BE26*BE29/1000000*(1-0.8235)</f>
        <v>0</v>
      </c>
      <c r="BH26" s="1091">
        <v>0</v>
      </c>
      <c r="BI26" s="1120">
        <f>BH26*BH29/1000000*0.8235</f>
        <v>0</v>
      </c>
      <c r="BJ26" s="1123">
        <f>BH26*BH29/1000000*(1-0.8235)</f>
        <v>0</v>
      </c>
      <c r="BK26" s="1091">
        <v>0</v>
      </c>
      <c r="BL26" s="1120">
        <f>BK26*BK29/1000000*0.8235</f>
        <v>0</v>
      </c>
      <c r="BM26" s="1123">
        <f>BK26*BK29/1000000*(1-0.8235)</f>
        <v>0</v>
      </c>
      <c r="BN26" s="1091">
        <v>0</v>
      </c>
      <c r="BO26" s="1120">
        <f>BN26*BN29/1000000*0.8235</f>
        <v>0</v>
      </c>
      <c r="BP26" s="1123">
        <f>BN26*BN29/1000000*(1-0.8235)</f>
        <v>0</v>
      </c>
      <c r="BQ26" s="1091">
        <v>0</v>
      </c>
      <c r="BR26" s="1120">
        <f>BQ26*BQ29/1000000*0.8235</f>
        <v>0</v>
      </c>
      <c r="BS26" s="1123">
        <f>BQ26*BQ29/1000000*(1-0.8235)</f>
        <v>0</v>
      </c>
      <c r="BT26" s="1091">
        <v>0</v>
      </c>
      <c r="BU26" s="1120">
        <f>BT26*BT29/1000000*0.8235</f>
        <v>0</v>
      </c>
      <c r="BV26" s="1123">
        <f>BT26*BT29/1000000*(1-0.8235)</f>
        <v>0</v>
      </c>
      <c r="BW26" s="1091">
        <v>0</v>
      </c>
      <c r="BX26" s="1120">
        <f>BW26*BW29/1000000*0.8235</f>
        <v>0</v>
      </c>
      <c r="BY26" s="1123">
        <f>BW26*BW29/1000000*(1-0.8235)</f>
        <v>0</v>
      </c>
      <c r="BZ26" s="1091">
        <v>0</v>
      </c>
      <c r="CA26" s="1120">
        <f>BZ26*BZ29/1000000*0.8235</f>
        <v>0</v>
      </c>
      <c r="CB26" s="1123">
        <f>BZ26*BZ29/1000000*(1-0.8235)</f>
        <v>0</v>
      </c>
    </row>
    <row r="27" spans="1:80" ht="6.75" customHeight="1" x14ac:dyDescent="0.2">
      <c r="A27" s="1026"/>
      <c r="B27" s="1027"/>
      <c r="C27" s="1028"/>
      <c r="D27" s="1033"/>
      <c r="E27" s="1026"/>
      <c r="F27" s="1028"/>
      <c r="G27" s="1026"/>
      <c r="H27" s="1027"/>
      <c r="I27" s="1092"/>
      <c r="J27" s="1121"/>
      <c r="K27" s="1124"/>
      <c r="L27" s="1092"/>
      <c r="M27" s="1121"/>
      <c r="N27" s="1124"/>
      <c r="O27" s="1092"/>
      <c r="P27" s="1121"/>
      <c r="Q27" s="1124"/>
      <c r="R27" s="1092"/>
      <c r="S27" s="1121"/>
      <c r="T27" s="1124"/>
      <c r="U27" s="1092"/>
      <c r="V27" s="1121"/>
      <c r="W27" s="1124"/>
      <c r="X27" s="1092"/>
      <c r="Y27" s="1121"/>
      <c r="Z27" s="1124"/>
      <c r="AA27" s="1092"/>
      <c r="AB27" s="1121"/>
      <c r="AC27" s="1124"/>
      <c r="AD27" s="1092"/>
      <c r="AE27" s="1121"/>
      <c r="AF27" s="1124"/>
      <c r="AG27" s="1092"/>
      <c r="AH27" s="1121"/>
      <c r="AI27" s="1124"/>
      <c r="AJ27" s="1092"/>
      <c r="AK27" s="1121"/>
      <c r="AL27" s="1124"/>
      <c r="AM27" s="1092"/>
      <c r="AN27" s="1121"/>
      <c r="AO27" s="1124"/>
      <c r="AP27" s="1092"/>
      <c r="AQ27" s="1121"/>
      <c r="AR27" s="1124"/>
      <c r="AS27" s="1092"/>
      <c r="AT27" s="1121"/>
      <c r="AU27" s="1124"/>
      <c r="AV27" s="1092"/>
      <c r="AW27" s="1121"/>
      <c r="AX27" s="1124"/>
      <c r="AY27" s="1092"/>
      <c r="AZ27" s="1121"/>
      <c r="BA27" s="1124"/>
      <c r="BB27" s="1092"/>
      <c r="BC27" s="1121"/>
      <c r="BD27" s="1124"/>
      <c r="BE27" s="1092"/>
      <c r="BF27" s="1121"/>
      <c r="BG27" s="1124"/>
      <c r="BH27" s="1092"/>
      <c r="BI27" s="1121"/>
      <c r="BJ27" s="1124"/>
      <c r="BK27" s="1092"/>
      <c r="BL27" s="1121"/>
      <c r="BM27" s="1124"/>
      <c r="BN27" s="1092"/>
      <c r="BO27" s="1121"/>
      <c r="BP27" s="1124"/>
      <c r="BQ27" s="1092"/>
      <c r="BR27" s="1121"/>
      <c r="BS27" s="1124"/>
      <c r="BT27" s="1092"/>
      <c r="BU27" s="1121"/>
      <c r="BV27" s="1124"/>
      <c r="BW27" s="1092"/>
      <c r="BX27" s="1121"/>
      <c r="BY27" s="1124"/>
      <c r="BZ27" s="1092"/>
      <c r="CA27" s="1121"/>
      <c r="CB27" s="1124"/>
    </row>
    <row r="28" spans="1:80" ht="6.75" customHeight="1" thickBot="1" x14ac:dyDescent="0.25">
      <c r="A28" s="1026"/>
      <c r="B28" s="1027"/>
      <c r="C28" s="1028"/>
      <c r="D28" s="1033"/>
      <c r="E28" s="1029"/>
      <c r="F28" s="1031"/>
      <c r="G28" s="1029"/>
      <c r="H28" s="1030"/>
      <c r="I28" s="1093"/>
      <c r="J28" s="1122"/>
      <c r="K28" s="1125"/>
      <c r="L28" s="1093"/>
      <c r="M28" s="1122"/>
      <c r="N28" s="1125"/>
      <c r="O28" s="1093"/>
      <c r="P28" s="1122"/>
      <c r="Q28" s="1125"/>
      <c r="R28" s="1093"/>
      <c r="S28" s="1122"/>
      <c r="T28" s="1125"/>
      <c r="U28" s="1093"/>
      <c r="V28" s="1122"/>
      <c r="W28" s="1125"/>
      <c r="X28" s="1093"/>
      <c r="Y28" s="1122"/>
      <c r="Z28" s="1125"/>
      <c r="AA28" s="1093"/>
      <c r="AB28" s="1122"/>
      <c r="AC28" s="1125"/>
      <c r="AD28" s="1093"/>
      <c r="AE28" s="1122"/>
      <c r="AF28" s="1125"/>
      <c r="AG28" s="1093"/>
      <c r="AH28" s="1122"/>
      <c r="AI28" s="1125"/>
      <c r="AJ28" s="1093"/>
      <c r="AK28" s="1122"/>
      <c r="AL28" s="1125"/>
      <c r="AM28" s="1093"/>
      <c r="AN28" s="1122"/>
      <c r="AO28" s="1125"/>
      <c r="AP28" s="1093"/>
      <c r="AQ28" s="1122"/>
      <c r="AR28" s="1125"/>
      <c r="AS28" s="1093"/>
      <c r="AT28" s="1122"/>
      <c r="AU28" s="1125"/>
      <c r="AV28" s="1093"/>
      <c r="AW28" s="1122"/>
      <c r="AX28" s="1125"/>
      <c r="AY28" s="1093"/>
      <c r="AZ28" s="1122"/>
      <c r="BA28" s="1125"/>
      <c r="BB28" s="1093"/>
      <c r="BC28" s="1122"/>
      <c r="BD28" s="1125"/>
      <c r="BE28" s="1093"/>
      <c r="BF28" s="1122"/>
      <c r="BG28" s="1125"/>
      <c r="BH28" s="1093"/>
      <c r="BI28" s="1122"/>
      <c r="BJ28" s="1125"/>
      <c r="BK28" s="1093"/>
      <c r="BL28" s="1122"/>
      <c r="BM28" s="1125"/>
      <c r="BN28" s="1093"/>
      <c r="BO28" s="1122"/>
      <c r="BP28" s="1125"/>
      <c r="BQ28" s="1093"/>
      <c r="BR28" s="1122"/>
      <c r="BS28" s="1125"/>
      <c r="BT28" s="1093"/>
      <c r="BU28" s="1122"/>
      <c r="BV28" s="1125"/>
      <c r="BW28" s="1093"/>
      <c r="BX28" s="1122"/>
      <c r="BY28" s="1125"/>
      <c r="BZ28" s="1093"/>
      <c r="CA28" s="1122"/>
      <c r="CB28" s="1125"/>
    </row>
    <row r="29" spans="1:80" ht="6.75" customHeight="1" x14ac:dyDescent="0.2">
      <c r="A29" s="1026"/>
      <c r="B29" s="1027"/>
      <c r="C29" s="1028"/>
      <c r="D29" s="1033"/>
      <c r="E29" s="1023" t="s">
        <v>14</v>
      </c>
      <c r="F29" s="1025"/>
      <c r="G29" s="1023" t="s">
        <v>47</v>
      </c>
      <c r="H29" s="1024"/>
      <c r="I29" s="977">
        <v>398</v>
      </c>
      <c r="J29" s="978"/>
      <c r="K29" s="979"/>
      <c r="L29" s="977">
        <v>398</v>
      </c>
      <c r="M29" s="978"/>
      <c r="N29" s="979"/>
      <c r="O29" s="977">
        <v>398</v>
      </c>
      <c r="P29" s="978"/>
      <c r="Q29" s="979"/>
      <c r="R29" s="977">
        <v>398</v>
      </c>
      <c r="S29" s="978"/>
      <c r="T29" s="979"/>
      <c r="U29" s="977">
        <v>398</v>
      </c>
      <c r="V29" s="978"/>
      <c r="W29" s="979"/>
      <c r="X29" s="977">
        <v>398</v>
      </c>
      <c r="Y29" s="978"/>
      <c r="Z29" s="979"/>
      <c r="AA29" s="977">
        <v>398</v>
      </c>
      <c r="AB29" s="978"/>
      <c r="AC29" s="979"/>
      <c r="AD29" s="977">
        <v>398</v>
      </c>
      <c r="AE29" s="978"/>
      <c r="AF29" s="979"/>
      <c r="AG29" s="977">
        <v>398</v>
      </c>
      <c r="AH29" s="978"/>
      <c r="AI29" s="979"/>
      <c r="AJ29" s="977">
        <v>398</v>
      </c>
      <c r="AK29" s="978"/>
      <c r="AL29" s="979"/>
      <c r="AM29" s="977">
        <v>398</v>
      </c>
      <c r="AN29" s="978"/>
      <c r="AO29" s="979"/>
      <c r="AP29" s="977">
        <v>398</v>
      </c>
      <c r="AQ29" s="978"/>
      <c r="AR29" s="979"/>
      <c r="AS29" s="977">
        <v>398</v>
      </c>
      <c r="AT29" s="978"/>
      <c r="AU29" s="979"/>
      <c r="AV29" s="977">
        <v>398</v>
      </c>
      <c r="AW29" s="978"/>
      <c r="AX29" s="979"/>
      <c r="AY29" s="977">
        <v>398</v>
      </c>
      <c r="AZ29" s="978"/>
      <c r="BA29" s="979"/>
      <c r="BB29" s="977">
        <v>398</v>
      </c>
      <c r="BC29" s="978"/>
      <c r="BD29" s="979"/>
      <c r="BE29" s="977">
        <v>398</v>
      </c>
      <c r="BF29" s="978"/>
      <c r="BG29" s="979"/>
      <c r="BH29" s="977">
        <v>398</v>
      </c>
      <c r="BI29" s="978"/>
      <c r="BJ29" s="979"/>
      <c r="BK29" s="977">
        <v>398</v>
      </c>
      <c r="BL29" s="978"/>
      <c r="BM29" s="979"/>
      <c r="BN29" s="977">
        <v>398</v>
      </c>
      <c r="BO29" s="978"/>
      <c r="BP29" s="979"/>
      <c r="BQ29" s="977">
        <v>398</v>
      </c>
      <c r="BR29" s="978"/>
      <c r="BS29" s="979"/>
      <c r="BT29" s="977">
        <v>398</v>
      </c>
      <c r="BU29" s="978"/>
      <c r="BV29" s="979"/>
      <c r="BW29" s="977">
        <v>398</v>
      </c>
      <c r="BX29" s="978"/>
      <c r="BY29" s="979"/>
      <c r="BZ29" s="977">
        <v>398</v>
      </c>
      <c r="CA29" s="978"/>
      <c r="CB29" s="979"/>
    </row>
    <row r="30" spans="1:80" ht="6.75" customHeight="1" x14ac:dyDescent="0.2">
      <c r="A30" s="1026"/>
      <c r="B30" s="1027"/>
      <c r="C30" s="1028"/>
      <c r="D30" s="1033"/>
      <c r="E30" s="1026"/>
      <c r="F30" s="1028"/>
      <c r="G30" s="1026"/>
      <c r="H30" s="1027"/>
      <c r="I30" s="977"/>
      <c r="J30" s="978"/>
      <c r="K30" s="979"/>
      <c r="L30" s="977"/>
      <c r="M30" s="978"/>
      <c r="N30" s="979"/>
      <c r="O30" s="977"/>
      <c r="P30" s="978"/>
      <c r="Q30" s="979"/>
      <c r="R30" s="977"/>
      <c r="S30" s="978"/>
      <c r="T30" s="979"/>
      <c r="U30" s="977"/>
      <c r="V30" s="978"/>
      <c r="W30" s="979"/>
      <c r="X30" s="977"/>
      <c r="Y30" s="978"/>
      <c r="Z30" s="979"/>
      <c r="AA30" s="977"/>
      <c r="AB30" s="978"/>
      <c r="AC30" s="979"/>
      <c r="AD30" s="977"/>
      <c r="AE30" s="978"/>
      <c r="AF30" s="979"/>
      <c r="AG30" s="977"/>
      <c r="AH30" s="978"/>
      <c r="AI30" s="979"/>
      <c r="AJ30" s="977"/>
      <c r="AK30" s="978"/>
      <c r="AL30" s="979"/>
      <c r="AM30" s="977"/>
      <c r="AN30" s="978"/>
      <c r="AO30" s="979"/>
      <c r="AP30" s="977"/>
      <c r="AQ30" s="978"/>
      <c r="AR30" s="979"/>
      <c r="AS30" s="977"/>
      <c r="AT30" s="978"/>
      <c r="AU30" s="979"/>
      <c r="AV30" s="977"/>
      <c r="AW30" s="978"/>
      <c r="AX30" s="979"/>
      <c r="AY30" s="977"/>
      <c r="AZ30" s="978"/>
      <c r="BA30" s="979"/>
      <c r="BB30" s="977"/>
      <c r="BC30" s="978"/>
      <c r="BD30" s="979"/>
      <c r="BE30" s="977"/>
      <c r="BF30" s="978"/>
      <c r="BG30" s="979"/>
      <c r="BH30" s="977"/>
      <c r="BI30" s="978"/>
      <c r="BJ30" s="979"/>
      <c r="BK30" s="977"/>
      <c r="BL30" s="978"/>
      <c r="BM30" s="979"/>
      <c r="BN30" s="977"/>
      <c r="BO30" s="978"/>
      <c r="BP30" s="979"/>
      <c r="BQ30" s="977"/>
      <c r="BR30" s="978"/>
      <c r="BS30" s="979"/>
      <c r="BT30" s="977"/>
      <c r="BU30" s="978"/>
      <c r="BV30" s="979"/>
      <c r="BW30" s="977"/>
      <c r="BX30" s="978"/>
      <c r="BY30" s="979"/>
      <c r="BZ30" s="977"/>
      <c r="CA30" s="978"/>
      <c r="CB30" s="979"/>
    </row>
    <row r="31" spans="1:80" ht="6.75" customHeight="1" thickBot="1" x14ac:dyDescent="0.25">
      <c r="A31" s="1029"/>
      <c r="B31" s="1030"/>
      <c r="C31" s="1031"/>
      <c r="D31" s="1034"/>
      <c r="E31" s="1029"/>
      <c r="F31" s="1031"/>
      <c r="G31" s="1029"/>
      <c r="H31" s="1030"/>
      <c r="I31" s="992"/>
      <c r="J31" s="993"/>
      <c r="K31" s="994"/>
      <c r="L31" s="992"/>
      <c r="M31" s="993"/>
      <c r="N31" s="994"/>
      <c r="O31" s="992"/>
      <c r="P31" s="993"/>
      <c r="Q31" s="994"/>
      <c r="R31" s="992"/>
      <c r="S31" s="993"/>
      <c r="T31" s="994"/>
      <c r="U31" s="992"/>
      <c r="V31" s="993"/>
      <c r="W31" s="994"/>
      <c r="X31" s="992"/>
      <c r="Y31" s="993"/>
      <c r="Z31" s="994"/>
      <c r="AA31" s="992"/>
      <c r="AB31" s="993"/>
      <c r="AC31" s="994"/>
      <c r="AD31" s="992"/>
      <c r="AE31" s="993"/>
      <c r="AF31" s="994"/>
      <c r="AG31" s="992"/>
      <c r="AH31" s="993"/>
      <c r="AI31" s="994"/>
      <c r="AJ31" s="992"/>
      <c r="AK31" s="993"/>
      <c r="AL31" s="994"/>
      <c r="AM31" s="992"/>
      <c r="AN31" s="993"/>
      <c r="AO31" s="994"/>
      <c r="AP31" s="992"/>
      <c r="AQ31" s="993"/>
      <c r="AR31" s="994"/>
      <c r="AS31" s="992"/>
      <c r="AT31" s="993"/>
      <c r="AU31" s="994"/>
      <c r="AV31" s="992"/>
      <c r="AW31" s="993"/>
      <c r="AX31" s="994"/>
      <c r="AY31" s="992"/>
      <c r="AZ31" s="993"/>
      <c r="BA31" s="994"/>
      <c r="BB31" s="992"/>
      <c r="BC31" s="993"/>
      <c r="BD31" s="994"/>
      <c r="BE31" s="992"/>
      <c r="BF31" s="993"/>
      <c r="BG31" s="994"/>
      <c r="BH31" s="992"/>
      <c r="BI31" s="993"/>
      <c r="BJ31" s="994"/>
      <c r="BK31" s="992"/>
      <c r="BL31" s="993"/>
      <c r="BM31" s="994"/>
      <c r="BN31" s="992"/>
      <c r="BO31" s="993"/>
      <c r="BP31" s="994"/>
      <c r="BQ31" s="992"/>
      <c r="BR31" s="993"/>
      <c r="BS31" s="994"/>
      <c r="BT31" s="992"/>
      <c r="BU31" s="993"/>
      <c r="BV31" s="994"/>
      <c r="BW31" s="992"/>
      <c r="BX31" s="993"/>
      <c r="BY31" s="994"/>
      <c r="BZ31" s="992"/>
      <c r="CA31" s="993"/>
      <c r="CB31" s="994"/>
    </row>
    <row r="32" spans="1:80" ht="7.5" customHeight="1" x14ac:dyDescent="0.2">
      <c r="A32" s="1023" t="s">
        <v>18</v>
      </c>
      <c r="B32" s="1024"/>
      <c r="C32" s="1025"/>
      <c r="D32" s="1032">
        <v>6.3E-2</v>
      </c>
      <c r="E32" s="1023" t="s">
        <v>13</v>
      </c>
      <c r="F32" s="1025"/>
      <c r="G32" s="1023" t="s">
        <v>47</v>
      </c>
      <c r="H32" s="1024"/>
      <c r="I32" s="1091">
        <v>5</v>
      </c>
      <c r="J32" s="1120">
        <f>I32*I35/1000000*0.8742</f>
        <v>1.7484E-3</v>
      </c>
      <c r="K32" s="1123">
        <f>I32*I35/1000000*(1-0.8742)</f>
        <v>2.5160000000000004E-4</v>
      </c>
      <c r="L32" s="1091">
        <v>5</v>
      </c>
      <c r="M32" s="1120">
        <f>L32*L35/1000000*0.8742</f>
        <v>1.7484E-3</v>
      </c>
      <c r="N32" s="1123">
        <f>L32*L35/1000000*(1-0.8742)</f>
        <v>2.5160000000000004E-4</v>
      </c>
      <c r="O32" s="1091">
        <v>5</v>
      </c>
      <c r="P32" s="1120">
        <f>O32*O35/1000000*0.8742</f>
        <v>1.7484E-3</v>
      </c>
      <c r="Q32" s="1123">
        <f>O32*O35/1000000*(1-0.8742)</f>
        <v>2.5160000000000004E-4</v>
      </c>
      <c r="R32" s="1091">
        <v>5</v>
      </c>
      <c r="S32" s="1120">
        <f>R32*R35/1000000*0.8742</f>
        <v>1.7484E-3</v>
      </c>
      <c r="T32" s="1123">
        <f>R32*R35/1000000*(1-0.8742)</f>
        <v>2.5160000000000004E-4</v>
      </c>
      <c r="U32" s="1091">
        <v>5</v>
      </c>
      <c r="V32" s="1120">
        <f>U32*U35/1000000*0.8742</f>
        <v>1.7484E-3</v>
      </c>
      <c r="W32" s="1123">
        <f>U32*U35/1000000*(1-0.8742)</f>
        <v>2.5160000000000004E-4</v>
      </c>
      <c r="X32" s="1091">
        <v>10</v>
      </c>
      <c r="Y32" s="1120">
        <f>X32*X35/1000000*0.8742</f>
        <v>3.4968E-3</v>
      </c>
      <c r="Z32" s="1123">
        <f>X32*X35/1000000*(1-0.8742)</f>
        <v>5.0320000000000009E-4</v>
      </c>
      <c r="AA32" s="1091">
        <v>0</v>
      </c>
      <c r="AB32" s="1120">
        <f>AA32*AA35/1000000*0.8742</f>
        <v>0</v>
      </c>
      <c r="AC32" s="1123">
        <f>AA32*AA35/1000000*(1-0.8742)</f>
        <v>0</v>
      </c>
      <c r="AD32" s="1091">
        <v>0</v>
      </c>
      <c r="AE32" s="1120">
        <f>AD32*AD35/1000000*0.8742</f>
        <v>0</v>
      </c>
      <c r="AF32" s="1123">
        <f>AD32*AD35/1000000*(1-0.8742)</f>
        <v>0</v>
      </c>
      <c r="AG32" s="1091">
        <v>0</v>
      </c>
      <c r="AH32" s="1120">
        <f>AG32*AG35/1000000*0.8742</f>
        <v>0</v>
      </c>
      <c r="AI32" s="1123">
        <f>AG32*AG35/1000000*(1-0.8742)</f>
        <v>0</v>
      </c>
      <c r="AJ32" s="1091">
        <v>0</v>
      </c>
      <c r="AK32" s="1120">
        <f>AJ32*AJ35/1000000*0.8742</f>
        <v>0</v>
      </c>
      <c r="AL32" s="1123">
        <f>AJ32*AJ35/1000000*(1-0.8742)</f>
        <v>0</v>
      </c>
      <c r="AM32" s="1091">
        <v>0</v>
      </c>
      <c r="AN32" s="1120">
        <f>AM32*AM35/1000000*0.8742</f>
        <v>0</v>
      </c>
      <c r="AO32" s="1123">
        <f>AM32*AM35/1000000*(1-0.8742)</f>
        <v>0</v>
      </c>
      <c r="AP32" s="1091">
        <v>0</v>
      </c>
      <c r="AQ32" s="1120">
        <f>AP32*AP35/1000000*0.8742</f>
        <v>0</v>
      </c>
      <c r="AR32" s="1123">
        <f>AP32*AP35/1000000*(1-0.8742)</f>
        <v>0</v>
      </c>
      <c r="AS32" s="1091">
        <v>0</v>
      </c>
      <c r="AT32" s="1120">
        <f>AS32*AS35/1000000*0.8742</f>
        <v>0</v>
      </c>
      <c r="AU32" s="1123">
        <f>AS32*AS35/1000000*(1-0.8742)</f>
        <v>0</v>
      </c>
      <c r="AV32" s="1091">
        <v>0</v>
      </c>
      <c r="AW32" s="1120">
        <f>AV32*AV35/1000000*0.8742</f>
        <v>0</v>
      </c>
      <c r="AX32" s="1123">
        <f>AV32*AV35/1000000*(1-0.8742)</f>
        <v>0</v>
      </c>
      <c r="AY32" s="1091">
        <v>0</v>
      </c>
      <c r="AZ32" s="1120">
        <f>AY32*AY35/1000000*0.8742</f>
        <v>0</v>
      </c>
      <c r="BA32" s="1123">
        <f>AY32*AY35/1000000*(1-0.8742)</f>
        <v>0</v>
      </c>
      <c r="BB32" s="1091">
        <v>0</v>
      </c>
      <c r="BC32" s="1120">
        <f>BB32*BB35/1000000*0.8742</f>
        <v>0</v>
      </c>
      <c r="BD32" s="1123">
        <f>BB32*BB35/1000000*(1-0.8742)</f>
        <v>0</v>
      </c>
      <c r="BE32" s="1091">
        <v>0</v>
      </c>
      <c r="BF32" s="1120">
        <f>BE32*BE35/1000000*0.8742</f>
        <v>0</v>
      </c>
      <c r="BG32" s="1123">
        <f>BE32*BE35/1000000*(1-0.8742)</f>
        <v>0</v>
      </c>
      <c r="BH32" s="1091">
        <v>0</v>
      </c>
      <c r="BI32" s="1120">
        <f>BH32*BH35/1000000*0.8742</f>
        <v>0</v>
      </c>
      <c r="BJ32" s="1123">
        <f>BH32*BH35/1000000*(1-0.8742)</f>
        <v>0</v>
      </c>
      <c r="BK32" s="1091">
        <v>0</v>
      </c>
      <c r="BL32" s="1120">
        <f>BK32*BK35/1000000*0.8742</f>
        <v>0</v>
      </c>
      <c r="BM32" s="1123">
        <f>BK32*BK35/1000000*(1-0.8742)</f>
        <v>0</v>
      </c>
      <c r="BN32" s="1091">
        <v>0</v>
      </c>
      <c r="BO32" s="1120">
        <f>BN32*BN35/1000000*0.8742</f>
        <v>0</v>
      </c>
      <c r="BP32" s="1123">
        <f>BN32*BN35/1000000*(1-0.8742)</f>
        <v>0</v>
      </c>
      <c r="BQ32" s="1091">
        <v>0</v>
      </c>
      <c r="BR32" s="1120">
        <f>BQ32*BQ35/1000000*0.8742</f>
        <v>0</v>
      </c>
      <c r="BS32" s="1123">
        <f>BQ32*BQ35/1000000*(1-0.8742)</f>
        <v>0</v>
      </c>
      <c r="BT32" s="1091">
        <v>0</v>
      </c>
      <c r="BU32" s="1120">
        <f>BT32*BT35/1000000*0.8742</f>
        <v>0</v>
      </c>
      <c r="BV32" s="1123">
        <f>BT32*BT35/1000000*(1-0.8742)</f>
        <v>0</v>
      </c>
      <c r="BW32" s="1091">
        <v>0</v>
      </c>
      <c r="BX32" s="1120">
        <f>BW32*BW35/1000000*0.8742</f>
        <v>0</v>
      </c>
      <c r="BY32" s="1123">
        <f>BW32*BW35/1000000*(1-0.8742)</f>
        <v>0</v>
      </c>
      <c r="BZ32" s="1091">
        <v>0</v>
      </c>
      <c r="CA32" s="1120">
        <f>BZ32*BZ35/1000000*0.8742</f>
        <v>0</v>
      </c>
      <c r="CB32" s="1123">
        <f>BZ32*BZ35/1000000*(1-0.8742)</f>
        <v>0</v>
      </c>
    </row>
    <row r="33" spans="1:80" ht="7.5" customHeight="1" x14ac:dyDescent="0.2">
      <c r="A33" s="1026"/>
      <c r="B33" s="1027"/>
      <c r="C33" s="1028"/>
      <c r="D33" s="1033"/>
      <c r="E33" s="1026"/>
      <c r="F33" s="1028"/>
      <c r="G33" s="1026"/>
      <c r="H33" s="1027"/>
      <c r="I33" s="1092"/>
      <c r="J33" s="1121"/>
      <c r="K33" s="1124"/>
      <c r="L33" s="1092"/>
      <c r="M33" s="1121"/>
      <c r="N33" s="1124"/>
      <c r="O33" s="1092"/>
      <c r="P33" s="1121"/>
      <c r="Q33" s="1124"/>
      <c r="R33" s="1092"/>
      <c r="S33" s="1121"/>
      <c r="T33" s="1124"/>
      <c r="U33" s="1092"/>
      <c r="V33" s="1121"/>
      <c r="W33" s="1124"/>
      <c r="X33" s="1092"/>
      <c r="Y33" s="1121"/>
      <c r="Z33" s="1124"/>
      <c r="AA33" s="1092"/>
      <c r="AB33" s="1121"/>
      <c r="AC33" s="1124"/>
      <c r="AD33" s="1092"/>
      <c r="AE33" s="1121"/>
      <c r="AF33" s="1124"/>
      <c r="AG33" s="1092"/>
      <c r="AH33" s="1121"/>
      <c r="AI33" s="1124"/>
      <c r="AJ33" s="1092"/>
      <c r="AK33" s="1121"/>
      <c r="AL33" s="1124"/>
      <c r="AM33" s="1092"/>
      <c r="AN33" s="1121"/>
      <c r="AO33" s="1124"/>
      <c r="AP33" s="1092"/>
      <c r="AQ33" s="1121"/>
      <c r="AR33" s="1124"/>
      <c r="AS33" s="1092"/>
      <c r="AT33" s="1121"/>
      <c r="AU33" s="1124"/>
      <c r="AV33" s="1092"/>
      <c r="AW33" s="1121"/>
      <c r="AX33" s="1124"/>
      <c r="AY33" s="1092"/>
      <c r="AZ33" s="1121"/>
      <c r="BA33" s="1124"/>
      <c r="BB33" s="1092"/>
      <c r="BC33" s="1121"/>
      <c r="BD33" s="1124"/>
      <c r="BE33" s="1092"/>
      <c r="BF33" s="1121"/>
      <c r="BG33" s="1124"/>
      <c r="BH33" s="1092"/>
      <c r="BI33" s="1121"/>
      <c r="BJ33" s="1124"/>
      <c r="BK33" s="1092"/>
      <c r="BL33" s="1121"/>
      <c r="BM33" s="1124"/>
      <c r="BN33" s="1092"/>
      <c r="BO33" s="1121"/>
      <c r="BP33" s="1124"/>
      <c r="BQ33" s="1092"/>
      <c r="BR33" s="1121"/>
      <c r="BS33" s="1124"/>
      <c r="BT33" s="1092"/>
      <c r="BU33" s="1121"/>
      <c r="BV33" s="1124"/>
      <c r="BW33" s="1092"/>
      <c r="BX33" s="1121"/>
      <c r="BY33" s="1124"/>
      <c r="BZ33" s="1092"/>
      <c r="CA33" s="1121"/>
      <c r="CB33" s="1124"/>
    </row>
    <row r="34" spans="1:80" ht="7.5" customHeight="1" thickBot="1" x14ac:dyDescent="0.25">
      <c r="A34" s="1026"/>
      <c r="B34" s="1027"/>
      <c r="C34" s="1028"/>
      <c r="D34" s="1033"/>
      <c r="E34" s="1029"/>
      <c r="F34" s="1031"/>
      <c r="G34" s="1029"/>
      <c r="H34" s="1030"/>
      <c r="I34" s="1093"/>
      <c r="J34" s="1122"/>
      <c r="K34" s="1125"/>
      <c r="L34" s="1093"/>
      <c r="M34" s="1122"/>
      <c r="N34" s="1125"/>
      <c r="O34" s="1093"/>
      <c r="P34" s="1122"/>
      <c r="Q34" s="1125"/>
      <c r="R34" s="1093"/>
      <c r="S34" s="1122"/>
      <c r="T34" s="1125"/>
      <c r="U34" s="1093"/>
      <c r="V34" s="1122"/>
      <c r="W34" s="1125"/>
      <c r="X34" s="1093"/>
      <c r="Y34" s="1122"/>
      <c r="Z34" s="1125"/>
      <c r="AA34" s="1093"/>
      <c r="AB34" s="1122"/>
      <c r="AC34" s="1125"/>
      <c r="AD34" s="1093"/>
      <c r="AE34" s="1122"/>
      <c r="AF34" s="1125"/>
      <c r="AG34" s="1093"/>
      <c r="AH34" s="1122"/>
      <c r="AI34" s="1125"/>
      <c r="AJ34" s="1093"/>
      <c r="AK34" s="1122"/>
      <c r="AL34" s="1125"/>
      <c r="AM34" s="1093"/>
      <c r="AN34" s="1122"/>
      <c r="AO34" s="1125"/>
      <c r="AP34" s="1093"/>
      <c r="AQ34" s="1122"/>
      <c r="AR34" s="1125"/>
      <c r="AS34" s="1093"/>
      <c r="AT34" s="1122"/>
      <c r="AU34" s="1125"/>
      <c r="AV34" s="1093"/>
      <c r="AW34" s="1122"/>
      <c r="AX34" s="1125"/>
      <c r="AY34" s="1093"/>
      <c r="AZ34" s="1122"/>
      <c r="BA34" s="1125"/>
      <c r="BB34" s="1093"/>
      <c r="BC34" s="1122"/>
      <c r="BD34" s="1125"/>
      <c r="BE34" s="1093"/>
      <c r="BF34" s="1122"/>
      <c r="BG34" s="1125"/>
      <c r="BH34" s="1093"/>
      <c r="BI34" s="1122"/>
      <c r="BJ34" s="1125"/>
      <c r="BK34" s="1093"/>
      <c r="BL34" s="1122"/>
      <c r="BM34" s="1125"/>
      <c r="BN34" s="1093"/>
      <c r="BO34" s="1122"/>
      <c r="BP34" s="1125"/>
      <c r="BQ34" s="1093"/>
      <c r="BR34" s="1122"/>
      <c r="BS34" s="1125"/>
      <c r="BT34" s="1093"/>
      <c r="BU34" s="1122"/>
      <c r="BV34" s="1125"/>
      <c r="BW34" s="1093"/>
      <c r="BX34" s="1122"/>
      <c r="BY34" s="1125"/>
      <c r="BZ34" s="1093"/>
      <c r="CA34" s="1122"/>
      <c r="CB34" s="1125"/>
    </row>
    <row r="35" spans="1:80" ht="7.5" customHeight="1" x14ac:dyDescent="0.2">
      <c r="A35" s="1026"/>
      <c r="B35" s="1027"/>
      <c r="C35" s="1028"/>
      <c r="D35" s="1033"/>
      <c r="E35" s="1023" t="s">
        <v>14</v>
      </c>
      <c r="F35" s="1025"/>
      <c r="G35" s="1023" t="s">
        <v>47</v>
      </c>
      <c r="H35" s="1024"/>
      <c r="I35" s="974">
        <v>400</v>
      </c>
      <c r="J35" s="975"/>
      <c r="K35" s="976"/>
      <c r="L35" s="974">
        <v>400</v>
      </c>
      <c r="M35" s="975"/>
      <c r="N35" s="976"/>
      <c r="O35" s="974">
        <v>400</v>
      </c>
      <c r="P35" s="975"/>
      <c r="Q35" s="976"/>
      <c r="R35" s="974">
        <v>400</v>
      </c>
      <c r="S35" s="975"/>
      <c r="T35" s="976"/>
      <c r="U35" s="974">
        <v>400</v>
      </c>
      <c r="V35" s="975"/>
      <c r="W35" s="976"/>
      <c r="X35" s="974">
        <v>400</v>
      </c>
      <c r="Y35" s="975"/>
      <c r="Z35" s="976"/>
      <c r="AA35" s="974">
        <v>400</v>
      </c>
      <c r="AB35" s="975"/>
      <c r="AC35" s="976"/>
      <c r="AD35" s="974">
        <v>400</v>
      </c>
      <c r="AE35" s="975"/>
      <c r="AF35" s="976"/>
      <c r="AG35" s="974">
        <v>400</v>
      </c>
      <c r="AH35" s="975"/>
      <c r="AI35" s="976"/>
      <c r="AJ35" s="974">
        <v>400</v>
      </c>
      <c r="AK35" s="975"/>
      <c r="AL35" s="976"/>
      <c r="AM35" s="974">
        <v>400</v>
      </c>
      <c r="AN35" s="975"/>
      <c r="AO35" s="976"/>
      <c r="AP35" s="974">
        <v>400</v>
      </c>
      <c r="AQ35" s="975"/>
      <c r="AR35" s="976"/>
      <c r="AS35" s="974">
        <v>400</v>
      </c>
      <c r="AT35" s="975"/>
      <c r="AU35" s="976"/>
      <c r="AV35" s="974">
        <v>400</v>
      </c>
      <c r="AW35" s="975"/>
      <c r="AX35" s="976"/>
      <c r="AY35" s="974">
        <v>400</v>
      </c>
      <c r="AZ35" s="975"/>
      <c r="BA35" s="976"/>
      <c r="BB35" s="974">
        <v>400</v>
      </c>
      <c r="BC35" s="975"/>
      <c r="BD35" s="976"/>
      <c r="BE35" s="974">
        <v>400</v>
      </c>
      <c r="BF35" s="975"/>
      <c r="BG35" s="976"/>
      <c r="BH35" s="974">
        <v>400</v>
      </c>
      <c r="BI35" s="975"/>
      <c r="BJ35" s="976"/>
      <c r="BK35" s="974">
        <v>400</v>
      </c>
      <c r="BL35" s="975"/>
      <c r="BM35" s="976"/>
      <c r="BN35" s="974">
        <v>400</v>
      </c>
      <c r="BO35" s="975"/>
      <c r="BP35" s="976"/>
      <c r="BQ35" s="974">
        <v>400</v>
      </c>
      <c r="BR35" s="975"/>
      <c r="BS35" s="976"/>
      <c r="BT35" s="974">
        <v>400</v>
      </c>
      <c r="BU35" s="975"/>
      <c r="BV35" s="976"/>
      <c r="BW35" s="974">
        <v>400</v>
      </c>
      <c r="BX35" s="975"/>
      <c r="BY35" s="976"/>
      <c r="BZ35" s="974">
        <v>400</v>
      </c>
      <c r="CA35" s="975"/>
      <c r="CB35" s="976"/>
    </row>
    <row r="36" spans="1:80" ht="7.5" customHeight="1" x14ac:dyDescent="0.2">
      <c r="A36" s="1026"/>
      <c r="B36" s="1027"/>
      <c r="C36" s="1028"/>
      <c r="D36" s="1033"/>
      <c r="E36" s="1026"/>
      <c r="F36" s="1028"/>
      <c r="G36" s="1026"/>
      <c r="H36" s="1027"/>
      <c r="I36" s="977"/>
      <c r="J36" s="978"/>
      <c r="K36" s="979"/>
      <c r="L36" s="977"/>
      <c r="M36" s="978"/>
      <c r="N36" s="979"/>
      <c r="O36" s="977"/>
      <c r="P36" s="978"/>
      <c r="Q36" s="979"/>
      <c r="R36" s="977"/>
      <c r="S36" s="978"/>
      <c r="T36" s="979"/>
      <c r="U36" s="977"/>
      <c r="V36" s="978"/>
      <c r="W36" s="979"/>
      <c r="X36" s="977"/>
      <c r="Y36" s="978"/>
      <c r="Z36" s="979"/>
      <c r="AA36" s="977"/>
      <c r="AB36" s="978"/>
      <c r="AC36" s="979"/>
      <c r="AD36" s="977"/>
      <c r="AE36" s="978"/>
      <c r="AF36" s="979"/>
      <c r="AG36" s="977"/>
      <c r="AH36" s="978"/>
      <c r="AI36" s="979"/>
      <c r="AJ36" s="977"/>
      <c r="AK36" s="978"/>
      <c r="AL36" s="979"/>
      <c r="AM36" s="977"/>
      <c r="AN36" s="978"/>
      <c r="AO36" s="979"/>
      <c r="AP36" s="977"/>
      <c r="AQ36" s="978"/>
      <c r="AR36" s="979"/>
      <c r="AS36" s="977"/>
      <c r="AT36" s="978"/>
      <c r="AU36" s="979"/>
      <c r="AV36" s="977"/>
      <c r="AW36" s="978"/>
      <c r="AX36" s="979"/>
      <c r="AY36" s="977"/>
      <c r="AZ36" s="978"/>
      <c r="BA36" s="979"/>
      <c r="BB36" s="977"/>
      <c r="BC36" s="978"/>
      <c r="BD36" s="979"/>
      <c r="BE36" s="977"/>
      <c r="BF36" s="978"/>
      <c r="BG36" s="979"/>
      <c r="BH36" s="977"/>
      <c r="BI36" s="978"/>
      <c r="BJ36" s="979"/>
      <c r="BK36" s="977"/>
      <c r="BL36" s="978"/>
      <c r="BM36" s="979"/>
      <c r="BN36" s="977"/>
      <c r="BO36" s="978"/>
      <c r="BP36" s="979"/>
      <c r="BQ36" s="977"/>
      <c r="BR36" s="978"/>
      <c r="BS36" s="979"/>
      <c r="BT36" s="977"/>
      <c r="BU36" s="978"/>
      <c r="BV36" s="979"/>
      <c r="BW36" s="977"/>
      <c r="BX36" s="978"/>
      <c r="BY36" s="979"/>
      <c r="BZ36" s="977"/>
      <c r="CA36" s="978"/>
      <c r="CB36" s="979"/>
    </row>
    <row r="37" spans="1:80" ht="7.5" customHeight="1" thickBot="1" x14ac:dyDescent="0.25">
      <c r="A37" s="1029"/>
      <c r="B37" s="1030"/>
      <c r="C37" s="1031"/>
      <c r="D37" s="1034"/>
      <c r="E37" s="1029"/>
      <c r="F37" s="1031"/>
      <c r="G37" s="1029"/>
      <c r="H37" s="1030"/>
      <c r="I37" s="980"/>
      <c r="J37" s="981"/>
      <c r="K37" s="982"/>
      <c r="L37" s="980"/>
      <c r="M37" s="981"/>
      <c r="N37" s="982"/>
      <c r="O37" s="980"/>
      <c r="P37" s="981"/>
      <c r="Q37" s="982"/>
      <c r="R37" s="980"/>
      <c r="S37" s="981"/>
      <c r="T37" s="982"/>
      <c r="U37" s="980"/>
      <c r="V37" s="981"/>
      <c r="W37" s="982"/>
      <c r="X37" s="980"/>
      <c r="Y37" s="981"/>
      <c r="Z37" s="982"/>
      <c r="AA37" s="980"/>
      <c r="AB37" s="981"/>
      <c r="AC37" s="982"/>
      <c r="AD37" s="980"/>
      <c r="AE37" s="981"/>
      <c r="AF37" s="982"/>
      <c r="AG37" s="980"/>
      <c r="AH37" s="981"/>
      <c r="AI37" s="982"/>
      <c r="AJ37" s="980"/>
      <c r="AK37" s="981"/>
      <c r="AL37" s="982"/>
      <c r="AM37" s="980"/>
      <c r="AN37" s="981"/>
      <c r="AO37" s="982"/>
      <c r="AP37" s="980"/>
      <c r="AQ37" s="981"/>
      <c r="AR37" s="982"/>
      <c r="AS37" s="980"/>
      <c r="AT37" s="981"/>
      <c r="AU37" s="982"/>
      <c r="AV37" s="980"/>
      <c r="AW37" s="981"/>
      <c r="AX37" s="982"/>
      <c r="AY37" s="980"/>
      <c r="AZ37" s="981"/>
      <c r="BA37" s="982"/>
      <c r="BB37" s="980"/>
      <c r="BC37" s="981"/>
      <c r="BD37" s="982"/>
      <c r="BE37" s="980"/>
      <c r="BF37" s="981"/>
      <c r="BG37" s="982"/>
      <c r="BH37" s="980"/>
      <c r="BI37" s="981"/>
      <c r="BJ37" s="982"/>
      <c r="BK37" s="980"/>
      <c r="BL37" s="981"/>
      <c r="BM37" s="982"/>
      <c r="BN37" s="980"/>
      <c r="BO37" s="981"/>
      <c r="BP37" s="982"/>
      <c r="BQ37" s="980"/>
      <c r="BR37" s="981"/>
      <c r="BS37" s="982"/>
      <c r="BT37" s="980"/>
      <c r="BU37" s="981"/>
      <c r="BV37" s="982"/>
      <c r="BW37" s="980"/>
      <c r="BX37" s="981"/>
      <c r="BY37" s="982"/>
      <c r="BZ37" s="980"/>
      <c r="CA37" s="981"/>
      <c r="CB37" s="982"/>
    </row>
    <row r="38" spans="1:80" ht="24" customHeight="1" x14ac:dyDescent="0.25">
      <c r="A38" s="1048" t="s">
        <v>19</v>
      </c>
      <c r="B38" s="1049"/>
      <c r="C38" s="1049"/>
      <c r="D38" s="1050"/>
      <c r="E38" s="1035" t="s">
        <v>30</v>
      </c>
      <c r="F38" s="1053"/>
      <c r="G38" s="1053"/>
      <c r="H38" s="1036"/>
      <c r="I38" s="16"/>
      <c r="J38" s="10"/>
      <c r="K38" s="11"/>
      <c r="L38" s="17"/>
      <c r="M38" s="10"/>
      <c r="N38" s="11"/>
      <c r="O38" s="18"/>
      <c r="P38" s="10"/>
      <c r="Q38" s="11"/>
      <c r="R38" s="18"/>
      <c r="S38" s="10"/>
      <c r="T38" s="11"/>
      <c r="U38" s="16"/>
      <c r="V38" s="10"/>
      <c r="W38" s="11"/>
      <c r="X38" s="17"/>
      <c r="Y38" s="10"/>
      <c r="Z38" s="11"/>
      <c r="AA38" s="18"/>
      <c r="AB38" s="10"/>
      <c r="AC38" s="11"/>
      <c r="AD38" s="18"/>
      <c r="AE38" s="10"/>
      <c r="AF38" s="11"/>
      <c r="AG38" s="16"/>
      <c r="AH38" s="10"/>
      <c r="AI38" s="11"/>
      <c r="AJ38" s="17"/>
      <c r="AK38" s="10"/>
      <c r="AL38" s="11"/>
      <c r="AM38" s="18"/>
      <c r="AN38" s="10"/>
      <c r="AO38" s="11"/>
      <c r="AP38" s="18"/>
      <c r="AQ38" s="10"/>
      <c r="AR38" s="11"/>
      <c r="AS38" s="16"/>
      <c r="AT38" s="10"/>
      <c r="AU38" s="11"/>
      <c r="AV38" s="17"/>
      <c r="AW38" s="10"/>
      <c r="AX38" s="11"/>
      <c r="AY38" s="18"/>
      <c r="AZ38" s="10"/>
      <c r="BA38" s="11"/>
      <c r="BB38" s="18"/>
      <c r="BC38" s="10"/>
      <c r="BD38" s="11"/>
      <c r="BE38" s="16"/>
      <c r="BF38" s="10"/>
      <c r="BG38" s="11"/>
      <c r="BH38" s="17"/>
      <c r="BI38" s="10"/>
      <c r="BJ38" s="11"/>
      <c r="BK38" s="18"/>
      <c r="BL38" s="10"/>
      <c r="BM38" s="11"/>
      <c r="BN38" s="18"/>
      <c r="BO38" s="10"/>
      <c r="BP38" s="11"/>
      <c r="BQ38" s="16"/>
      <c r="BR38" s="10"/>
      <c r="BS38" s="11"/>
      <c r="BT38" s="17"/>
      <c r="BU38" s="10"/>
      <c r="BV38" s="11"/>
      <c r="BW38" s="18"/>
      <c r="BX38" s="10"/>
      <c r="BY38" s="11"/>
      <c r="BZ38" s="18"/>
      <c r="CA38" s="10"/>
      <c r="CB38" s="11"/>
    </row>
    <row r="39" spans="1:80" ht="19.5" customHeight="1" thickBot="1" x14ac:dyDescent="0.3">
      <c r="A39" s="1051"/>
      <c r="B39" s="1019"/>
      <c r="C39" s="1019"/>
      <c r="D39" s="1052"/>
      <c r="E39" s="1054" t="s">
        <v>30</v>
      </c>
      <c r="F39" s="1055"/>
      <c r="G39" s="1055"/>
      <c r="H39" s="1056"/>
      <c r="I39" s="19"/>
      <c r="J39" s="12"/>
      <c r="K39" s="20"/>
      <c r="L39" s="13"/>
      <c r="M39" s="12"/>
      <c r="N39" s="20"/>
      <c r="O39" s="21"/>
      <c r="P39" s="12"/>
      <c r="Q39" s="20"/>
      <c r="R39" s="21"/>
      <c r="S39" s="12"/>
      <c r="T39" s="20"/>
      <c r="U39" s="19"/>
      <c r="V39" s="12"/>
      <c r="W39" s="20"/>
      <c r="X39" s="13"/>
      <c r="Y39" s="12"/>
      <c r="Z39" s="20"/>
      <c r="AA39" s="21"/>
      <c r="AB39" s="12"/>
      <c r="AC39" s="20"/>
      <c r="AD39" s="21"/>
      <c r="AE39" s="12"/>
      <c r="AF39" s="20"/>
      <c r="AG39" s="19"/>
      <c r="AH39" s="12"/>
      <c r="AI39" s="20"/>
      <c r="AJ39" s="13"/>
      <c r="AK39" s="12"/>
      <c r="AL39" s="20"/>
      <c r="AM39" s="21"/>
      <c r="AN39" s="12"/>
      <c r="AO39" s="20"/>
      <c r="AP39" s="21"/>
      <c r="AQ39" s="12"/>
      <c r="AR39" s="20"/>
      <c r="AS39" s="19"/>
      <c r="AT39" s="12"/>
      <c r="AU39" s="20"/>
      <c r="AV39" s="13"/>
      <c r="AW39" s="12"/>
      <c r="AX39" s="20"/>
      <c r="AY39" s="21"/>
      <c r="AZ39" s="12"/>
      <c r="BA39" s="20"/>
      <c r="BB39" s="21"/>
      <c r="BC39" s="12"/>
      <c r="BD39" s="20"/>
      <c r="BE39" s="19"/>
      <c r="BF39" s="12"/>
      <c r="BG39" s="20"/>
      <c r="BH39" s="13"/>
      <c r="BI39" s="12"/>
      <c r="BJ39" s="20"/>
      <c r="BK39" s="21"/>
      <c r="BL39" s="12"/>
      <c r="BM39" s="20"/>
      <c r="BN39" s="21"/>
      <c r="BO39" s="12"/>
      <c r="BP39" s="20"/>
      <c r="BQ39" s="19"/>
      <c r="BR39" s="12"/>
      <c r="BS39" s="20"/>
      <c r="BT39" s="13"/>
      <c r="BU39" s="12"/>
      <c r="BV39" s="20"/>
      <c r="BW39" s="21"/>
      <c r="BX39" s="12"/>
      <c r="BY39" s="20"/>
      <c r="BZ39" s="21"/>
      <c r="CA39" s="12"/>
      <c r="CB39" s="20"/>
    </row>
    <row r="40" spans="1:80" ht="16.5" hidden="1" x14ac:dyDescent="0.25">
      <c r="A40" s="22"/>
      <c r="B40" s="23"/>
      <c r="C40" s="23"/>
      <c r="D40" s="42"/>
      <c r="E40" s="24"/>
      <c r="F40" s="1057"/>
      <c r="G40" s="1057"/>
      <c r="H40" s="23"/>
      <c r="I40" s="23"/>
      <c r="J40" s="23"/>
      <c r="K40" s="23"/>
      <c r="L40" s="23"/>
      <c r="M40" s="42"/>
      <c r="N40" s="1057"/>
      <c r="O40" s="1057"/>
      <c r="P40" s="42"/>
      <c r="Q40" s="1057"/>
      <c r="R40" s="1057"/>
      <c r="S40" s="42"/>
      <c r="T40" s="25"/>
      <c r="U40" s="6"/>
    </row>
    <row r="41" spans="1:80" ht="16.5" x14ac:dyDescent="0.25">
      <c r="A41" s="1058" t="s">
        <v>32</v>
      </c>
      <c r="B41" s="1059"/>
      <c r="C41" s="1059"/>
      <c r="D41" s="1059"/>
      <c r="E41" s="1059" t="s">
        <v>33</v>
      </c>
      <c r="F41" s="1059"/>
      <c r="G41" s="1059"/>
      <c r="H41" s="26"/>
      <c r="I41" s="26"/>
      <c r="J41" s="26"/>
      <c r="K41" s="26"/>
      <c r="L41" s="26"/>
      <c r="M41" s="44"/>
      <c r="N41" s="1060"/>
      <c r="O41" s="1060"/>
      <c r="P41" s="44"/>
      <c r="Q41" s="1060"/>
      <c r="R41" s="1060"/>
      <c r="S41" s="44"/>
      <c r="T41" s="75"/>
      <c r="U41" s="6"/>
    </row>
    <row r="42" spans="1:80" ht="16.5" x14ac:dyDescent="0.25">
      <c r="A42" s="1058" t="s">
        <v>32</v>
      </c>
      <c r="B42" s="1059"/>
      <c r="C42" s="1059"/>
      <c r="D42" s="1059"/>
      <c r="E42" s="1059" t="s">
        <v>33</v>
      </c>
      <c r="F42" s="1059"/>
      <c r="G42" s="1059"/>
      <c r="H42" s="26"/>
      <c r="I42" s="26"/>
      <c r="J42" s="26"/>
      <c r="K42" s="26"/>
      <c r="L42" s="26"/>
      <c r="M42" s="44"/>
      <c r="N42" s="1060"/>
      <c r="O42" s="1060"/>
      <c r="P42" s="44"/>
      <c r="Q42" s="1060"/>
      <c r="R42" s="1060"/>
      <c r="S42" s="44"/>
      <c r="T42" s="75"/>
      <c r="U42" s="6"/>
    </row>
    <row r="43" spans="1:80" ht="16.5" x14ac:dyDescent="0.25">
      <c r="A43" s="1058" t="s">
        <v>32</v>
      </c>
      <c r="B43" s="1059"/>
      <c r="C43" s="1059"/>
      <c r="D43" s="1059"/>
      <c r="E43" s="1059" t="s">
        <v>33</v>
      </c>
      <c r="F43" s="1059"/>
      <c r="G43" s="1059"/>
      <c r="H43" s="26"/>
      <c r="I43" s="26"/>
      <c r="J43" s="26"/>
      <c r="K43" s="26"/>
      <c r="L43" s="26"/>
      <c r="M43" s="44"/>
      <c r="N43" s="1060"/>
      <c r="O43" s="1060"/>
      <c r="P43" s="44"/>
      <c r="Q43" s="1060"/>
      <c r="R43" s="1060"/>
      <c r="S43" s="44"/>
      <c r="T43" s="75"/>
      <c r="U43" s="6"/>
    </row>
    <row r="44" spans="1:80" ht="17.25" thickBot="1" x14ac:dyDescent="0.3">
      <c r="A44" s="28"/>
      <c r="B44" s="29"/>
      <c r="C44" s="30"/>
      <c r="D44" s="43"/>
      <c r="E44" s="31"/>
      <c r="F44" s="1061"/>
      <c r="G44" s="1061"/>
      <c r="H44" s="29"/>
      <c r="I44" s="29"/>
      <c r="J44" s="29"/>
      <c r="K44" s="29"/>
      <c r="L44" s="29"/>
      <c r="M44" s="43"/>
      <c r="N44" s="1061"/>
      <c r="O44" s="1061"/>
      <c r="P44" s="43"/>
      <c r="Q44" s="1061"/>
      <c r="R44" s="1061"/>
      <c r="S44" s="43"/>
      <c r="T44" s="76"/>
      <c r="U44" s="6"/>
    </row>
    <row r="45" spans="1:80" ht="17.25" thickBot="1" x14ac:dyDescent="0.3">
      <c r="A45" s="1062" t="s">
        <v>20</v>
      </c>
      <c r="B45" s="1063"/>
      <c r="C45" s="1063"/>
      <c r="D45" s="1063"/>
      <c r="E45" s="1063"/>
      <c r="F45" s="1063"/>
      <c r="G45" s="1063"/>
      <c r="H45" s="1064"/>
      <c r="I45" s="1001" t="s">
        <v>3</v>
      </c>
      <c r="J45" s="1002"/>
      <c r="K45" s="1003"/>
      <c r="L45" s="1001" t="s">
        <v>4</v>
      </c>
      <c r="M45" s="1002"/>
      <c r="N45" s="1003"/>
      <c r="O45" s="1001" t="s">
        <v>102</v>
      </c>
      <c r="P45" s="1002"/>
      <c r="Q45" s="1003"/>
      <c r="R45" s="1001" t="s">
        <v>103</v>
      </c>
      <c r="S45" s="1002"/>
      <c r="T45" s="1003"/>
      <c r="U45" s="1001" t="s">
        <v>104</v>
      </c>
      <c r="V45" s="1002"/>
      <c r="W45" s="1003"/>
      <c r="X45" s="1001" t="s">
        <v>105</v>
      </c>
      <c r="Y45" s="1002"/>
      <c r="Z45" s="1003"/>
      <c r="AA45" s="1001" t="s">
        <v>106</v>
      </c>
      <c r="AB45" s="1002"/>
      <c r="AC45" s="1003"/>
      <c r="AD45" s="1001" t="s">
        <v>108</v>
      </c>
      <c r="AE45" s="1002"/>
      <c r="AF45" s="1003"/>
      <c r="AG45" s="1001" t="s">
        <v>107</v>
      </c>
      <c r="AH45" s="1002"/>
      <c r="AI45" s="1003"/>
      <c r="AJ45" s="1001" t="s">
        <v>109</v>
      </c>
      <c r="AK45" s="1002"/>
      <c r="AL45" s="1003"/>
      <c r="AM45" s="1001" t="s">
        <v>110</v>
      </c>
      <c r="AN45" s="1002"/>
      <c r="AO45" s="1003"/>
      <c r="AP45" s="1001" t="s">
        <v>111</v>
      </c>
      <c r="AQ45" s="1002"/>
      <c r="AR45" s="1003"/>
      <c r="AS45" s="1001" t="s">
        <v>112</v>
      </c>
      <c r="AT45" s="1002"/>
      <c r="AU45" s="1003"/>
      <c r="AV45" s="1001" t="s">
        <v>113</v>
      </c>
      <c r="AW45" s="1002"/>
      <c r="AX45" s="1003"/>
      <c r="AY45" s="1001" t="s">
        <v>114</v>
      </c>
      <c r="AZ45" s="1002"/>
      <c r="BA45" s="1003"/>
      <c r="BB45" s="1001" t="s">
        <v>115</v>
      </c>
      <c r="BC45" s="1002"/>
      <c r="BD45" s="1003"/>
      <c r="BE45" s="1001" t="s">
        <v>116</v>
      </c>
      <c r="BF45" s="1002"/>
      <c r="BG45" s="1003"/>
      <c r="BH45" s="1001" t="s">
        <v>117</v>
      </c>
      <c r="BI45" s="1002"/>
      <c r="BJ45" s="1003"/>
      <c r="BK45" s="1001" t="s">
        <v>118</v>
      </c>
      <c r="BL45" s="1002"/>
      <c r="BM45" s="1003"/>
      <c r="BN45" s="1001" t="s">
        <v>119</v>
      </c>
      <c r="BO45" s="1002"/>
      <c r="BP45" s="1003"/>
      <c r="BQ45" s="1001" t="s">
        <v>120</v>
      </c>
      <c r="BR45" s="1002"/>
      <c r="BS45" s="1003"/>
      <c r="BT45" s="1001" t="s">
        <v>121</v>
      </c>
      <c r="BU45" s="1002"/>
      <c r="BV45" s="1003"/>
      <c r="BW45" s="1001" t="s">
        <v>122</v>
      </c>
      <c r="BX45" s="1002"/>
      <c r="BY45" s="1003"/>
      <c r="BZ45" s="1001" t="s">
        <v>5</v>
      </c>
      <c r="CA45" s="1002"/>
      <c r="CB45" s="1003"/>
    </row>
    <row r="46" spans="1:80" ht="16.5" customHeight="1" x14ac:dyDescent="0.25">
      <c r="A46" s="1048" t="s">
        <v>21</v>
      </c>
      <c r="B46" s="1049"/>
      <c r="C46" s="1049"/>
      <c r="D46" s="1050"/>
      <c r="E46" s="1066" t="s">
        <v>22</v>
      </c>
      <c r="F46" s="1067"/>
      <c r="G46" s="1068" t="s">
        <v>23</v>
      </c>
      <c r="H46" s="1069"/>
      <c r="I46" s="1014" t="s">
        <v>9</v>
      </c>
      <c r="J46" s="1012" t="s">
        <v>10</v>
      </c>
      <c r="K46" s="1012" t="s">
        <v>11</v>
      </c>
      <c r="L46" s="1014" t="s">
        <v>9</v>
      </c>
      <c r="M46" s="1012" t="s">
        <v>10</v>
      </c>
      <c r="N46" s="1012" t="s">
        <v>11</v>
      </c>
      <c r="O46" s="1014" t="s">
        <v>9</v>
      </c>
      <c r="P46" s="1012" t="s">
        <v>10</v>
      </c>
      <c r="Q46" s="1012" t="s">
        <v>11</v>
      </c>
      <c r="R46" s="1014" t="s">
        <v>9</v>
      </c>
      <c r="S46" s="1012" t="s">
        <v>10</v>
      </c>
      <c r="T46" s="1010" t="s">
        <v>11</v>
      </c>
      <c r="U46" s="1014" t="s">
        <v>9</v>
      </c>
      <c r="V46" s="1012" t="s">
        <v>10</v>
      </c>
      <c r="W46" s="1012" t="s">
        <v>11</v>
      </c>
      <c r="X46" s="1014" t="s">
        <v>9</v>
      </c>
      <c r="Y46" s="1012" t="s">
        <v>10</v>
      </c>
      <c r="Z46" s="1012" t="s">
        <v>11</v>
      </c>
      <c r="AA46" s="1014" t="s">
        <v>9</v>
      </c>
      <c r="AB46" s="1012" t="s">
        <v>10</v>
      </c>
      <c r="AC46" s="1012" t="s">
        <v>11</v>
      </c>
      <c r="AD46" s="1014" t="s">
        <v>9</v>
      </c>
      <c r="AE46" s="1012" t="s">
        <v>10</v>
      </c>
      <c r="AF46" s="1010" t="s">
        <v>11</v>
      </c>
      <c r="AG46" s="1014" t="s">
        <v>9</v>
      </c>
      <c r="AH46" s="1012" t="s">
        <v>10</v>
      </c>
      <c r="AI46" s="1012" t="s">
        <v>11</v>
      </c>
      <c r="AJ46" s="1014" t="s">
        <v>9</v>
      </c>
      <c r="AK46" s="1012" t="s">
        <v>10</v>
      </c>
      <c r="AL46" s="1012" t="s">
        <v>11</v>
      </c>
      <c r="AM46" s="1014" t="s">
        <v>9</v>
      </c>
      <c r="AN46" s="1012" t="s">
        <v>10</v>
      </c>
      <c r="AO46" s="1012" t="s">
        <v>11</v>
      </c>
      <c r="AP46" s="1014" t="s">
        <v>9</v>
      </c>
      <c r="AQ46" s="1012" t="s">
        <v>10</v>
      </c>
      <c r="AR46" s="1010" t="s">
        <v>11</v>
      </c>
      <c r="AS46" s="1014" t="s">
        <v>9</v>
      </c>
      <c r="AT46" s="1012" t="s">
        <v>10</v>
      </c>
      <c r="AU46" s="1012" t="s">
        <v>11</v>
      </c>
      <c r="AV46" s="1014" t="s">
        <v>9</v>
      </c>
      <c r="AW46" s="1012" t="s">
        <v>10</v>
      </c>
      <c r="AX46" s="1012" t="s">
        <v>11</v>
      </c>
      <c r="AY46" s="1014" t="s">
        <v>9</v>
      </c>
      <c r="AZ46" s="1012" t="s">
        <v>10</v>
      </c>
      <c r="BA46" s="1012" t="s">
        <v>11</v>
      </c>
      <c r="BB46" s="1014" t="s">
        <v>9</v>
      </c>
      <c r="BC46" s="1012" t="s">
        <v>10</v>
      </c>
      <c r="BD46" s="1010" t="s">
        <v>11</v>
      </c>
      <c r="BE46" s="1014" t="s">
        <v>9</v>
      </c>
      <c r="BF46" s="1012" t="s">
        <v>10</v>
      </c>
      <c r="BG46" s="1012" t="s">
        <v>11</v>
      </c>
      <c r="BH46" s="1014" t="s">
        <v>9</v>
      </c>
      <c r="BI46" s="1012" t="s">
        <v>10</v>
      </c>
      <c r="BJ46" s="1012" t="s">
        <v>11</v>
      </c>
      <c r="BK46" s="1014" t="s">
        <v>9</v>
      </c>
      <c r="BL46" s="1012" t="s">
        <v>10</v>
      </c>
      <c r="BM46" s="1012" t="s">
        <v>11</v>
      </c>
      <c r="BN46" s="1014" t="s">
        <v>9</v>
      </c>
      <c r="BO46" s="1012" t="s">
        <v>10</v>
      </c>
      <c r="BP46" s="1010" t="s">
        <v>11</v>
      </c>
      <c r="BQ46" s="1014" t="s">
        <v>9</v>
      </c>
      <c r="BR46" s="1012" t="s">
        <v>10</v>
      </c>
      <c r="BS46" s="1012" t="s">
        <v>11</v>
      </c>
      <c r="BT46" s="1014" t="s">
        <v>9</v>
      </c>
      <c r="BU46" s="1012" t="s">
        <v>10</v>
      </c>
      <c r="BV46" s="1012" t="s">
        <v>11</v>
      </c>
      <c r="BW46" s="1014" t="s">
        <v>9</v>
      </c>
      <c r="BX46" s="1012" t="s">
        <v>10</v>
      </c>
      <c r="BY46" s="1012" t="s">
        <v>11</v>
      </c>
      <c r="BZ46" s="1014" t="s">
        <v>9</v>
      </c>
      <c r="CA46" s="1012" t="s">
        <v>10</v>
      </c>
      <c r="CB46" s="1010" t="s">
        <v>11</v>
      </c>
    </row>
    <row r="47" spans="1:80" ht="17.25" thickBot="1" x14ac:dyDescent="0.3">
      <c r="A47" s="1051"/>
      <c r="B47" s="1018"/>
      <c r="C47" s="1018"/>
      <c r="D47" s="1065"/>
      <c r="E47" s="33" t="s">
        <v>24</v>
      </c>
      <c r="F47" s="34" t="s">
        <v>25</v>
      </c>
      <c r="G47" s="34" t="s">
        <v>24</v>
      </c>
      <c r="H47" s="35" t="s">
        <v>25</v>
      </c>
      <c r="I47" s="1015"/>
      <c r="J47" s="1013"/>
      <c r="K47" s="1013"/>
      <c r="L47" s="1015"/>
      <c r="M47" s="1013"/>
      <c r="N47" s="1013"/>
      <c r="O47" s="1015"/>
      <c r="P47" s="1013"/>
      <c r="Q47" s="1013"/>
      <c r="R47" s="1015"/>
      <c r="S47" s="1013"/>
      <c r="T47" s="1011"/>
      <c r="U47" s="1015"/>
      <c r="V47" s="1013"/>
      <c r="W47" s="1013"/>
      <c r="X47" s="1015"/>
      <c r="Y47" s="1013"/>
      <c r="Z47" s="1013"/>
      <c r="AA47" s="1015"/>
      <c r="AB47" s="1013"/>
      <c r="AC47" s="1013"/>
      <c r="AD47" s="1015"/>
      <c r="AE47" s="1013"/>
      <c r="AF47" s="1011"/>
      <c r="AG47" s="1015"/>
      <c r="AH47" s="1013"/>
      <c r="AI47" s="1013"/>
      <c r="AJ47" s="1015"/>
      <c r="AK47" s="1013"/>
      <c r="AL47" s="1013"/>
      <c r="AM47" s="1015"/>
      <c r="AN47" s="1013"/>
      <c r="AO47" s="1013"/>
      <c r="AP47" s="1015"/>
      <c r="AQ47" s="1013"/>
      <c r="AR47" s="1011"/>
      <c r="AS47" s="1015"/>
      <c r="AT47" s="1013"/>
      <c r="AU47" s="1013"/>
      <c r="AV47" s="1015"/>
      <c r="AW47" s="1013"/>
      <c r="AX47" s="1013"/>
      <c r="AY47" s="1015"/>
      <c r="AZ47" s="1013"/>
      <c r="BA47" s="1013"/>
      <c r="BB47" s="1015"/>
      <c r="BC47" s="1013"/>
      <c r="BD47" s="1011"/>
      <c r="BE47" s="1015"/>
      <c r="BF47" s="1013"/>
      <c r="BG47" s="1013"/>
      <c r="BH47" s="1015"/>
      <c r="BI47" s="1013"/>
      <c r="BJ47" s="1013"/>
      <c r="BK47" s="1015"/>
      <c r="BL47" s="1013"/>
      <c r="BM47" s="1013"/>
      <c r="BN47" s="1015"/>
      <c r="BO47" s="1013"/>
      <c r="BP47" s="1011"/>
      <c r="BQ47" s="1015"/>
      <c r="BR47" s="1013"/>
      <c r="BS47" s="1013"/>
      <c r="BT47" s="1015"/>
      <c r="BU47" s="1013"/>
      <c r="BV47" s="1013"/>
      <c r="BW47" s="1015"/>
      <c r="BX47" s="1013"/>
      <c r="BY47" s="1013"/>
      <c r="BZ47" s="1015"/>
      <c r="CA47" s="1013"/>
      <c r="CB47" s="1011"/>
    </row>
    <row r="48" spans="1:80" ht="54" customHeight="1" x14ac:dyDescent="0.2">
      <c r="A48" s="1071" t="s">
        <v>46</v>
      </c>
      <c r="B48" s="1071" t="s">
        <v>26</v>
      </c>
      <c r="C48" s="47" t="s">
        <v>57</v>
      </c>
      <c r="D48" s="48" t="s">
        <v>89</v>
      </c>
      <c r="E48" s="47" t="s">
        <v>124</v>
      </c>
      <c r="F48" s="134" t="s">
        <v>124</v>
      </c>
      <c r="G48" s="134" t="s">
        <v>124</v>
      </c>
      <c r="H48" s="135" t="s">
        <v>124</v>
      </c>
      <c r="I48" s="113">
        <v>0</v>
      </c>
      <c r="J48" s="114">
        <v>0</v>
      </c>
      <c r="K48" s="115">
        <v>0</v>
      </c>
      <c r="L48" s="113">
        <v>0</v>
      </c>
      <c r="M48" s="114">
        <v>0</v>
      </c>
      <c r="N48" s="115">
        <v>0</v>
      </c>
      <c r="O48" s="113">
        <v>0</v>
      </c>
      <c r="P48" s="114">
        <v>0</v>
      </c>
      <c r="Q48" s="115">
        <v>0</v>
      </c>
      <c r="R48" s="113">
        <v>0</v>
      </c>
      <c r="S48" s="114">
        <v>0</v>
      </c>
      <c r="T48" s="115">
        <v>0</v>
      </c>
      <c r="U48" s="113">
        <v>0</v>
      </c>
      <c r="V48" s="114">
        <v>0</v>
      </c>
      <c r="W48" s="115">
        <v>0</v>
      </c>
      <c r="X48" s="113">
        <v>0</v>
      </c>
      <c r="Y48" s="114">
        <v>0</v>
      </c>
      <c r="Z48" s="115">
        <v>0</v>
      </c>
      <c r="AA48" s="113">
        <v>0</v>
      </c>
      <c r="AB48" s="114">
        <v>0</v>
      </c>
      <c r="AC48" s="115">
        <v>0</v>
      </c>
      <c r="AD48" s="113">
        <v>0</v>
      </c>
      <c r="AE48" s="114">
        <v>0</v>
      </c>
      <c r="AF48" s="115">
        <v>0</v>
      </c>
      <c r="AG48" s="113">
        <v>0</v>
      </c>
      <c r="AH48" s="114">
        <v>0</v>
      </c>
      <c r="AI48" s="115">
        <v>0</v>
      </c>
      <c r="AJ48" s="113">
        <v>0</v>
      </c>
      <c r="AK48" s="114">
        <v>0</v>
      </c>
      <c r="AL48" s="115">
        <v>0</v>
      </c>
      <c r="AM48" s="113">
        <v>0</v>
      </c>
      <c r="AN48" s="114">
        <v>0</v>
      </c>
      <c r="AO48" s="115">
        <v>0</v>
      </c>
      <c r="AP48" s="113">
        <v>0</v>
      </c>
      <c r="AQ48" s="114">
        <v>0</v>
      </c>
      <c r="AR48" s="115">
        <v>0</v>
      </c>
      <c r="AS48" s="113">
        <v>0</v>
      </c>
      <c r="AT48" s="114">
        <v>0</v>
      </c>
      <c r="AU48" s="115">
        <v>0</v>
      </c>
      <c r="AV48" s="113">
        <v>0</v>
      </c>
      <c r="AW48" s="114">
        <v>0</v>
      </c>
      <c r="AX48" s="115">
        <v>0</v>
      </c>
      <c r="AY48" s="113">
        <v>0</v>
      </c>
      <c r="AZ48" s="114">
        <v>0</v>
      </c>
      <c r="BA48" s="115">
        <v>0</v>
      </c>
      <c r="BB48" s="113">
        <v>0</v>
      </c>
      <c r="BC48" s="114">
        <v>0</v>
      </c>
      <c r="BD48" s="115">
        <v>0</v>
      </c>
      <c r="BE48" s="113">
        <v>0</v>
      </c>
      <c r="BF48" s="114">
        <v>0</v>
      </c>
      <c r="BG48" s="115">
        <v>0</v>
      </c>
      <c r="BH48" s="113">
        <v>0</v>
      </c>
      <c r="BI48" s="114">
        <v>0</v>
      </c>
      <c r="BJ48" s="115">
        <v>0</v>
      </c>
      <c r="BK48" s="113">
        <v>0</v>
      </c>
      <c r="BL48" s="114">
        <v>0</v>
      </c>
      <c r="BM48" s="115">
        <v>0</v>
      </c>
      <c r="BN48" s="113">
        <v>0</v>
      </c>
      <c r="BO48" s="114">
        <v>0</v>
      </c>
      <c r="BP48" s="115">
        <v>0</v>
      </c>
      <c r="BQ48" s="113">
        <v>0</v>
      </c>
      <c r="BR48" s="114">
        <v>0</v>
      </c>
      <c r="BS48" s="115">
        <v>0</v>
      </c>
      <c r="BT48" s="113">
        <v>0</v>
      </c>
      <c r="BU48" s="114">
        <v>0</v>
      </c>
      <c r="BV48" s="115">
        <v>0</v>
      </c>
      <c r="BW48" s="113">
        <v>0</v>
      </c>
      <c r="BX48" s="114">
        <v>0</v>
      </c>
      <c r="BY48" s="115">
        <v>0</v>
      </c>
      <c r="BZ48" s="113">
        <v>0</v>
      </c>
      <c r="CA48" s="114">
        <v>0</v>
      </c>
      <c r="CB48" s="115">
        <v>0</v>
      </c>
    </row>
    <row r="49" spans="1:80" ht="54" customHeight="1" x14ac:dyDescent="0.2">
      <c r="A49" s="1072"/>
      <c r="B49" s="1072"/>
      <c r="C49" s="56" t="s">
        <v>42</v>
      </c>
      <c r="D49" s="59" t="s">
        <v>90</v>
      </c>
      <c r="E49" s="56" t="s">
        <v>124</v>
      </c>
      <c r="F49" s="140" t="s">
        <v>124</v>
      </c>
      <c r="G49" s="140" t="s">
        <v>124</v>
      </c>
      <c r="H49" s="141" t="s">
        <v>124</v>
      </c>
      <c r="I49" s="116">
        <v>40</v>
      </c>
      <c r="J49" s="117">
        <f>I49*I18/1000*0.8115</f>
        <v>0.34082999999999997</v>
      </c>
      <c r="K49" s="118">
        <f>I49*I18/1000*(1-0.8115)</f>
        <v>7.9170000000000004E-2</v>
      </c>
      <c r="L49" s="116">
        <v>40</v>
      </c>
      <c r="M49" s="117">
        <f>L49*L18/1000*0.8115</f>
        <v>0.34082999999999997</v>
      </c>
      <c r="N49" s="118">
        <f>L49*L18/1000*(1-0.8115)</f>
        <v>7.9170000000000004E-2</v>
      </c>
      <c r="O49" s="116">
        <v>40</v>
      </c>
      <c r="P49" s="117">
        <f>O49*O18/1000*0.8115</f>
        <v>0.34082999999999997</v>
      </c>
      <c r="Q49" s="118">
        <f>O49*O18/1000*(1-0.8115)</f>
        <v>7.9170000000000004E-2</v>
      </c>
      <c r="R49" s="116">
        <v>40</v>
      </c>
      <c r="S49" s="117">
        <f>R49*R18/1000*0.8115</f>
        <v>0.34082999999999997</v>
      </c>
      <c r="T49" s="118">
        <f>R49*R18/1000*(1-0.8115)</f>
        <v>7.9170000000000004E-2</v>
      </c>
      <c r="U49" s="116">
        <v>40</v>
      </c>
      <c r="V49" s="117">
        <f>U49*U18/1000*0.8115</f>
        <v>0.34082999999999997</v>
      </c>
      <c r="W49" s="118">
        <f>U49*U18/1000*(1-0.8115)</f>
        <v>7.9170000000000004E-2</v>
      </c>
      <c r="X49" s="116">
        <v>40</v>
      </c>
      <c r="Y49" s="117">
        <f>X49*X18/1000*0.8115</f>
        <v>0.34082999999999997</v>
      </c>
      <c r="Z49" s="118">
        <f>X49*X18/1000*(1-0.8115)</f>
        <v>7.9170000000000004E-2</v>
      </c>
      <c r="AA49" s="116">
        <v>40</v>
      </c>
      <c r="AB49" s="117">
        <f>AA49*AA18/1000*0.8115</f>
        <v>0.34082999999999997</v>
      </c>
      <c r="AC49" s="118">
        <f>AA49*AA18/1000*(1-0.8115)</f>
        <v>7.9170000000000004E-2</v>
      </c>
      <c r="AD49" s="116">
        <v>60</v>
      </c>
      <c r="AE49" s="117">
        <f>AD49*AD18/1000*0.8115</f>
        <v>0.51124499999999995</v>
      </c>
      <c r="AF49" s="118">
        <f>AD49*AD18/1000*(1-0.8115)</f>
        <v>0.118755</v>
      </c>
      <c r="AG49" s="116">
        <v>60</v>
      </c>
      <c r="AH49" s="117">
        <f>AG49*AG18/1000*0.8115</f>
        <v>0.51124499999999995</v>
      </c>
      <c r="AI49" s="118">
        <f>AG49*AG18/1000*(1-0.8115)</f>
        <v>0.118755</v>
      </c>
      <c r="AJ49" s="116">
        <v>60</v>
      </c>
      <c r="AK49" s="117">
        <f>AJ49*AJ18/1000*0.8115</f>
        <v>0.51124499999999995</v>
      </c>
      <c r="AL49" s="118">
        <f>AJ49*AJ18/1000*(1-0.8115)</f>
        <v>0.118755</v>
      </c>
      <c r="AM49" s="116">
        <v>60</v>
      </c>
      <c r="AN49" s="117">
        <f>AM49*AM18/1000*0.8115</f>
        <v>0.51124499999999995</v>
      </c>
      <c r="AO49" s="118">
        <f>AM49*AM18/1000*(1-0.8115)</f>
        <v>0.118755</v>
      </c>
      <c r="AP49" s="116">
        <v>60</v>
      </c>
      <c r="AQ49" s="117">
        <f>AP49*AP18/1000*0.8115</f>
        <v>0.51124499999999995</v>
      </c>
      <c r="AR49" s="118">
        <f>AP49*AP18/1000*(1-0.8115)</f>
        <v>0.118755</v>
      </c>
      <c r="AS49" s="116">
        <v>60</v>
      </c>
      <c r="AT49" s="117">
        <f>AS49*AS18/1000*0.8115</f>
        <v>0.51124499999999995</v>
      </c>
      <c r="AU49" s="118">
        <f>AS49*AS18/1000*(1-0.8115)</f>
        <v>0.118755</v>
      </c>
      <c r="AV49" s="116">
        <v>60</v>
      </c>
      <c r="AW49" s="117">
        <f>AV49*AV18/1000*0.8115</f>
        <v>0.51124499999999995</v>
      </c>
      <c r="AX49" s="118">
        <f>AV49*AV18/1000*(1-0.8115)</f>
        <v>0.118755</v>
      </c>
      <c r="AY49" s="116">
        <v>80</v>
      </c>
      <c r="AZ49" s="117">
        <f>AY49*AY18/1000*0.8115</f>
        <v>0.68165999999999993</v>
      </c>
      <c r="BA49" s="118">
        <f>AY49*AY18/1000*(1-0.8115)</f>
        <v>0.15834000000000001</v>
      </c>
      <c r="BB49" s="116">
        <v>80</v>
      </c>
      <c r="BC49" s="117">
        <f>BB49*BB18/1000*0.8115</f>
        <v>0.68165999999999993</v>
      </c>
      <c r="BD49" s="118">
        <f>BB49*BB18/1000*(1-0.8115)</f>
        <v>0.15834000000000001</v>
      </c>
      <c r="BE49" s="116">
        <v>80</v>
      </c>
      <c r="BF49" s="117">
        <f>BE49*BE18/1000*0.8115</f>
        <v>0.68165999999999993</v>
      </c>
      <c r="BG49" s="118">
        <f>BE49*BE18/1000*(1-0.8115)</f>
        <v>0.15834000000000001</v>
      </c>
      <c r="BH49" s="116">
        <v>85</v>
      </c>
      <c r="BI49" s="117">
        <f>BH49*BH18/1000*0.8115</f>
        <v>0.72426374999999998</v>
      </c>
      <c r="BJ49" s="118">
        <f>BH49*BH18/1000*(1-0.8115)</f>
        <v>0.16823625</v>
      </c>
      <c r="BK49" s="116">
        <v>85</v>
      </c>
      <c r="BL49" s="117">
        <f>BK49*BK18/1000*0.8115</f>
        <v>0.72426374999999998</v>
      </c>
      <c r="BM49" s="118">
        <f>BK49*BK18/1000*(1-0.8115)</f>
        <v>0.16823625</v>
      </c>
      <c r="BN49" s="116">
        <v>85</v>
      </c>
      <c r="BO49" s="117">
        <f>BN49*BN18/1000*0.8115</f>
        <v>0.72426374999999998</v>
      </c>
      <c r="BP49" s="118">
        <f>BN49*BN18/1000*(1-0.8115)</f>
        <v>0.16823625</v>
      </c>
      <c r="BQ49" s="116">
        <v>70</v>
      </c>
      <c r="BR49" s="117">
        <f>BQ49*BQ18/1000*0.8115</f>
        <v>0.59645249999999994</v>
      </c>
      <c r="BS49" s="118">
        <f>BQ49*BQ18/1000*(1-0.8115)</f>
        <v>0.13854749999999999</v>
      </c>
      <c r="BT49" s="116">
        <v>35</v>
      </c>
      <c r="BU49" s="117">
        <f>BT49*BT18/1000*0.8115</f>
        <v>0.29822624999999997</v>
      </c>
      <c r="BV49" s="118">
        <f>BT49*BT18/1000*(1-0.8115)</f>
        <v>6.9273749999999995E-2</v>
      </c>
      <c r="BW49" s="116">
        <v>35</v>
      </c>
      <c r="BX49" s="117">
        <f>BW49*BW18/1000*0.8115</f>
        <v>0.29822624999999997</v>
      </c>
      <c r="BY49" s="118">
        <f>BW49*BW18/1000*(1-0.8115)</f>
        <v>6.9273749999999995E-2</v>
      </c>
      <c r="BZ49" s="116">
        <v>33</v>
      </c>
      <c r="CA49" s="117">
        <f>BZ49*BZ18/1000*0.8115</f>
        <v>0.28118474999999998</v>
      </c>
      <c r="CB49" s="118">
        <f>BZ49*BZ18/1000*(1-0.8115)</f>
        <v>6.5315249999999991E-2</v>
      </c>
    </row>
    <row r="50" spans="1:80" ht="54" customHeight="1" x14ac:dyDescent="0.2">
      <c r="A50" s="1072"/>
      <c r="B50" s="1072"/>
      <c r="C50" s="56" t="s">
        <v>49</v>
      </c>
      <c r="D50" s="59" t="s">
        <v>91</v>
      </c>
      <c r="E50" s="56" t="s">
        <v>124</v>
      </c>
      <c r="F50" s="140" t="s">
        <v>124</v>
      </c>
      <c r="G50" s="140" t="s">
        <v>124</v>
      </c>
      <c r="H50" s="141" t="s">
        <v>124</v>
      </c>
      <c r="I50" s="116">
        <v>70</v>
      </c>
      <c r="J50" s="117">
        <f>I50*I18/1000*0.9529</f>
        <v>0.70038149999999999</v>
      </c>
      <c r="K50" s="118">
        <f>I50*I18/1000*(1-0.9529)</f>
        <v>3.4618500000000024E-2</v>
      </c>
      <c r="L50" s="116">
        <v>70</v>
      </c>
      <c r="M50" s="117">
        <f>L50*L18/1000*0.9529</f>
        <v>0.70038149999999999</v>
      </c>
      <c r="N50" s="118">
        <f>L50*L18/1000*(1-0.9529)</f>
        <v>3.4618500000000024E-2</v>
      </c>
      <c r="O50" s="116">
        <v>70</v>
      </c>
      <c r="P50" s="117">
        <f>O50*O18/1000*0.9529</f>
        <v>0.70038149999999999</v>
      </c>
      <c r="Q50" s="118">
        <f>O50*O18/1000*(1-0.9529)</f>
        <v>3.4618500000000024E-2</v>
      </c>
      <c r="R50" s="116">
        <v>70</v>
      </c>
      <c r="S50" s="117">
        <f>R50*R18/1000*0.9529</f>
        <v>0.70038149999999999</v>
      </c>
      <c r="T50" s="118">
        <f>R50*R18/1000*(1-0.9529)</f>
        <v>3.4618500000000024E-2</v>
      </c>
      <c r="U50" s="116">
        <v>70</v>
      </c>
      <c r="V50" s="117">
        <f>U50*U18/1000*0.9529</f>
        <v>0.70038149999999999</v>
      </c>
      <c r="W50" s="118">
        <f>U50*U18/1000*(1-0.9529)</f>
        <v>3.4618500000000024E-2</v>
      </c>
      <c r="X50" s="116">
        <v>70</v>
      </c>
      <c r="Y50" s="117">
        <f>X50*X18/1000*0.9529</f>
        <v>0.70038149999999999</v>
      </c>
      <c r="Z50" s="118">
        <f>X50*X18/1000*(1-0.9529)</f>
        <v>3.4618500000000024E-2</v>
      </c>
      <c r="AA50" s="116">
        <v>70</v>
      </c>
      <c r="AB50" s="117">
        <f>AA50*AA18/1000*0.9529</f>
        <v>0.70038149999999999</v>
      </c>
      <c r="AC50" s="118">
        <f>AA50*AA18/1000*(1-0.9529)</f>
        <v>3.4618500000000024E-2</v>
      </c>
      <c r="AD50" s="116">
        <v>77</v>
      </c>
      <c r="AE50" s="117">
        <f>AD50*AD18/1000*0.9529</f>
        <v>0.77041965000000001</v>
      </c>
      <c r="AF50" s="118">
        <f>AD50*AD18/1000*(1-0.9529)</f>
        <v>3.8080350000000027E-2</v>
      </c>
      <c r="AG50" s="116">
        <v>77</v>
      </c>
      <c r="AH50" s="117">
        <f>AG50*AG18/1000*0.9529</f>
        <v>0.77041965000000001</v>
      </c>
      <c r="AI50" s="118">
        <f>AG50*AG18/1000*(1-0.9529)</f>
        <v>3.8080350000000027E-2</v>
      </c>
      <c r="AJ50" s="116">
        <v>77</v>
      </c>
      <c r="AK50" s="117">
        <f>AJ50*AJ18/1000*0.9529</f>
        <v>0.77041965000000001</v>
      </c>
      <c r="AL50" s="118">
        <f>AJ50*AJ18/1000*(1-0.9529)</f>
        <v>3.8080350000000027E-2</v>
      </c>
      <c r="AM50" s="116">
        <v>77</v>
      </c>
      <c r="AN50" s="117">
        <f>AM50*AM18/1000*0.9529</f>
        <v>0.77041965000000001</v>
      </c>
      <c r="AO50" s="118">
        <f>AM50*AM18/1000*(1-0.9529)</f>
        <v>3.8080350000000027E-2</v>
      </c>
      <c r="AP50" s="116">
        <v>77</v>
      </c>
      <c r="AQ50" s="117">
        <f>AP50*AP18/1000*0.9529</f>
        <v>0.77041965000000001</v>
      </c>
      <c r="AR50" s="118">
        <f>AP50*AP18/1000*(1-0.9529)</f>
        <v>3.8080350000000027E-2</v>
      </c>
      <c r="AS50" s="116">
        <v>77</v>
      </c>
      <c r="AT50" s="117">
        <f>AS50*AS18/1000*0.9529</f>
        <v>0.77041965000000001</v>
      </c>
      <c r="AU50" s="118">
        <f>AS50*AS18/1000*(1-0.9529)</f>
        <v>3.8080350000000027E-2</v>
      </c>
      <c r="AV50" s="116">
        <v>77</v>
      </c>
      <c r="AW50" s="117">
        <f>AV50*AV18/1000*0.9529</f>
        <v>0.77041965000000001</v>
      </c>
      <c r="AX50" s="118">
        <f>AV50*AV18/1000*(1-0.9529)</f>
        <v>3.8080350000000027E-2</v>
      </c>
      <c r="AY50" s="116">
        <v>85</v>
      </c>
      <c r="AZ50" s="117">
        <f>AY50*AY18/1000*0.9529</f>
        <v>0.85046324999999989</v>
      </c>
      <c r="BA50" s="118">
        <f>AY50*AY18/1000*(1-0.9529)</f>
        <v>4.2036750000000025E-2</v>
      </c>
      <c r="BB50" s="116">
        <v>85</v>
      </c>
      <c r="BC50" s="117">
        <f>BB50*BB18/1000*0.9529</f>
        <v>0.85046324999999989</v>
      </c>
      <c r="BD50" s="118">
        <f>BB50*BB18/1000*(1-0.9529)</f>
        <v>4.2036750000000025E-2</v>
      </c>
      <c r="BE50" s="116">
        <v>85</v>
      </c>
      <c r="BF50" s="117">
        <f>BE50*BE18/1000*0.9529</f>
        <v>0.85046324999999989</v>
      </c>
      <c r="BG50" s="118">
        <f>BE50*BE18/1000*(1-0.9529)</f>
        <v>4.2036750000000025E-2</v>
      </c>
      <c r="BH50" s="116">
        <v>80</v>
      </c>
      <c r="BI50" s="117">
        <f>BH50*BH18/1000*0.9529</f>
        <v>0.80043599999999993</v>
      </c>
      <c r="BJ50" s="118">
        <f>BH50*BH18/1000*(1-0.9529)</f>
        <v>3.9564000000000023E-2</v>
      </c>
      <c r="BK50" s="116">
        <v>80</v>
      </c>
      <c r="BL50" s="117">
        <f>BK50*BK18/1000*0.9529</f>
        <v>0.80043599999999993</v>
      </c>
      <c r="BM50" s="118">
        <f>BK50*BK18/1000*(1-0.9529)</f>
        <v>3.9564000000000023E-2</v>
      </c>
      <c r="BN50" s="116">
        <v>80</v>
      </c>
      <c r="BO50" s="117">
        <f>BN50*BN18/1000*0.9529</f>
        <v>0.80043599999999993</v>
      </c>
      <c r="BP50" s="118">
        <f>BN50*BN18/1000*(1-0.9529)</f>
        <v>3.9564000000000023E-2</v>
      </c>
      <c r="BQ50" s="116">
        <v>70</v>
      </c>
      <c r="BR50" s="117">
        <f>BQ50*BQ18/1000*0.9529</f>
        <v>0.70038149999999999</v>
      </c>
      <c r="BS50" s="118">
        <f>BQ50*BQ18/1000*(1-0.9529)</f>
        <v>3.4618500000000024E-2</v>
      </c>
      <c r="BT50" s="116">
        <v>65</v>
      </c>
      <c r="BU50" s="117">
        <f>BT50*BT18/1000*0.9529</f>
        <v>0.65035425000000002</v>
      </c>
      <c r="BV50" s="118">
        <f>BT50*BT18/1000*(1-0.9529)</f>
        <v>3.2145750000000022E-2</v>
      </c>
      <c r="BW50" s="116">
        <v>65</v>
      </c>
      <c r="BX50" s="117">
        <f>BW50*BW18/1000*0.9529</f>
        <v>0.65035425000000002</v>
      </c>
      <c r="BY50" s="118">
        <f>BW50*BW18/1000*(1-0.9529)</f>
        <v>3.2145750000000022E-2</v>
      </c>
      <c r="BZ50" s="116">
        <v>65</v>
      </c>
      <c r="CA50" s="117">
        <f>BZ50*BZ18/1000*0.9529</f>
        <v>0.65035425000000002</v>
      </c>
      <c r="CB50" s="118">
        <f>BZ50*BZ18/1000*(1-0.9529)</f>
        <v>3.2145750000000022E-2</v>
      </c>
    </row>
    <row r="51" spans="1:80" ht="54" customHeight="1" x14ac:dyDescent="0.2">
      <c r="A51" s="1072"/>
      <c r="B51" s="1072"/>
      <c r="C51" s="56" t="s">
        <v>92</v>
      </c>
      <c r="D51" s="59" t="s">
        <v>93</v>
      </c>
      <c r="E51" s="56" t="s">
        <v>124</v>
      </c>
      <c r="F51" s="140" t="s">
        <v>124</v>
      </c>
      <c r="G51" s="140" t="s">
        <v>124</v>
      </c>
      <c r="H51" s="141" t="s">
        <v>124</v>
      </c>
      <c r="I51" s="116">
        <v>143</v>
      </c>
      <c r="J51" s="117">
        <f>I51*I18/1000*0.8862</f>
        <v>1.3306293</v>
      </c>
      <c r="K51" s="118">
        <f>I51*I18/1000*(1-0.8862)</f>
        <v>0.17087070000000001</v>
      </c>
      <c r="L51" s="116">
        <v>142</v>
      </c>
      <c r="M51" s="117">
        <f>L51*L18/1000*0.8862</f>
        <v>1.3213242000000001</v>
      </c>
      <c r="N51" s="118">
        <f>L51*L18/1000*(1-0.8862)</f>
        <v>0.16967580000000004</v>
      </c>
      <c r="O51" s="116">
        <v>142</v>
      </c>
      <c r="P51" s="117">
        <f>O51*O18/1000*0.8862</f>
        <v>1.3213242000000001</v>
      </c>
      <c r="Q51" s="118">
        <f>O51*O18/1000*(1-0.8862)</f>
        <v>0.16967580000000004</v>
      </c>
      <c r="R51" s="116">
        <v>142</v>
      </c>
      <c r="S51" s="117">
        <f>R51*R18/1000*0.8862</f>
        <v>1.3213242000000001</v>
      </c>
      <c r="T51" s="118">
        <f>R51*R18/1000*(1-0.8862)</f>
        <v>0.16967580000000004</v>
      </c>
      <c r="U51" s="116">
        <v>142</v>
      </c>
      <c r="V51" s="117">
        <f>U51*U18/1000*0.8862</f>
        <v>1.3213242000000001</v>
      </c>
      <c r="W51" s="118">
        <f>U51*U18/1000*(1-0.8862)</f>
        <v>0.16967580000000004</v>
      </c>
      <c r="X51" s="116">
        <v>142</v>
      </c>
      <c r="Y51" s="117">
        <f>X51*X18/1000*0.8862</f>
        <v>1.3213242000000001</v>
      </c>
      <c r="Z51" s="118">
        <f>X51*X18/1000*(1-0.8862)</f>
        <v>0.16967580000000004</v>
      </c>
      <c r="AA51" s="116">
        <v>142</v>
      </c>
      <c r="AB51" s="117">
        <f>AA51*AA18/1000*0.8862</f>
        <v>1.3213242000000001</v>
      </c>
      <c r="AC51" s="118">
        <f>AA51*AA18/1000*(1-0.8862)</f>
        <v>0.16967580000000004</v>
      </c>
      <c r="AD51" s="116">
        <v>235</v>
      </c>
      <c r="AE51" s="117">
        <f>AD51*AD18/1000*0.8862</f>
        <v>2.1866984999999999</v>
      </c>
      <c r="AF51" s="118">
        <f>AD51*AD18/1000*(1-0.8862)</f>
        <v>0.28080149999999998</v>
      </c>
      <c r="AG51" s="116">
        <v>235</v>
      </c>
      <c r="AH51" s="117">
        <f>AG51*AG18/1000*0.8862</f>
        <v>2.1866984999999999</v>
      </c>
      <c r="AI51" s="118">
        <f>AG51*AG18/1000*(1-0.8862)</f>
        <v>0.28080149999999998</v>
      </c>
      <c r="AJ51" s="116">
        <v>235</v>
      </c>
      <c r="AK51" s="117">
        <f>AJ51*AJ18/1000*0.8862</f>
        <v>2.1866984999999999</v>
      </c>
      <c r="AL51" s="118">
        <f>AJ51*AJ18/1000*(1-0.8862)</f>
        <v>0.28080149999999998</v>
      </c>
      <c r="AM51" s="116">
        <v>235</v>
      </c>
      <c r="AN51" s="117">
        <f>AM51*AM18/1000*0.8862</f>
        <v>2.1866984999999999</v>
      </c>
      <c r="AO51" s="118">
        <f>AM51*AM18/1000*(1-0.8862)</f>
        <v>0.28080149999999998</v>
      </c>
      <c r="AP51" s="116">
        <v>235</v>
      </c>
      <c r="AQ51" s="117">
        <f>AP51*AP18/1000*0.8862</f>
        <v>2.1866984999999999</v>
      </c>
      <c r="AR51" s="118">
        <f>AP51*AP18/1000*(1-0.8862)</f>
        <v>0.28080149999999998</v>
      </c>
      <c r="AS51" s="116">
        <v>235</v>
      </c>
      <c r="AT51" s="117">
        <f>AS51*AS18/1000*0.8862</f>
        <v>2.1866984999999999</v>
      </c>
      <c r="AU51" s="118">
        <f>AS51*AS18/1000*(1-0.8862)</f>
        <v>0.28080149999999998</v>
      </c>
      <c r="AV51" s="116">
        <v>235</v>
      </c>
      <c r="AW51" s="117">
        <f>AV51*AV18/1000*0.8862</f>
        <v>2.1866984999999999</v>
      </c>
      <c r="AX51" s="118">
        <f>AV51*AV18/1000*(1-0.8862)</f>
        <v>0.28080149999999998</v>
      </c>
      <c r="AY51" s="116">
        <v>250</v>
      </c>
      <c r="AZ51" s="117">
        <f>AY51*AY18/1000*0.8862</f>
        <v>2.3262749999999999</v>
      </c>
      <c r="BA51" s="118">
        <f>AY51*AY18/1000*(1-0.8862)</f>
        <v>0.29872500000000002</v>
      </c>
      <c r="BB51" s="116">
        <v>250</v>
      </c>
      <c r="BC51" s="117">
        <f>BB51*BB18/1000*0.8862</f>
        <v>2.3262749999999999</v>
      </c>
      <c r="BD51" s="118">
        <f>BB51*BB18/1000*(1-0.8862)</f>
        <v>0.29872500000000002</v>
      </c>
      <c r="BE51" s="116">
        <v>250</v>
      </c>
      <c r="BF51" s="117">
        <f>BE51*BE18/1000*0.8862</f>
        <v>2.3262749999999999</v>
      </c>
      <c r="BG51" s="118">
        <f>BE51*BE18/1000*(1-0.8862)</f>
        <v>0.29872500000000002</v>
      </c>
      <c r="BH51" s="116">
        <v>210</v>
      </c>
      <c r="BI51" s="117">
        <f>BH51*BH18/1000*0.8862</f>
        <v>1.9540710000000001</v>
      </c>
      <c r="BJ51" s="118">
        <f>BH51*BH18/1000*(1-0.8862)</f>
        <v>0.25092900000000001</v>
      </c>
      <c r="BK51" s="116">
        <v>210</v>
      </c>
      <c r="BL51" s="117">
        <f>BK51*BK18/1000*0.8862</f>
        <v>1.9540710000000001</v>
      </c>
      <c r="BM51" s="118">
        <f>BK51*BK18/1000*(1-0.8862)</f>
        <v>0.25092900000000001</v>
      </c>
      <c r="BN51" s="116">
        <v>210</v>
      </c>
      <c r="BO51" s="117">
        <f>BN51*BN18/1000*0.8862</f>
        <v>1.9540710000000001</v>
      </c>
      <c r="BP51" s="118">
        <f>BN51*BN18/1000*(1-0.8862)</f>
        <v>0.25092900000000001</v>
      </c>
      <c r="BQ51" s="116">
        <v>170</v>
      </c>
      <c r="BR51" s="117">
        <f>BQ51*BQ18/1000*0.8862</f>
        <v>1.5818669999999999</v>
      </c>
      <c r="BS51" s="118">
        <f>BQ51*BQ18/1000*(1-0.8862)</f>
        <v>0.20313300000000001</v>
      </c>
      <c r="BT51" s="116">
        <v>150</v>
      </c>
      <c r="BU51" s="117">
        <f>BT51*BT18/1000*0.8862</f>
        <v>1.3957649999999999</v>
      </c>
      <c r="BV51" s="118">
        <f>BT51*BT18/1000*(1-0.8862)</f>
        <v>0.17923500000000001</v>
      </c>
      <c r="BW51" s="116">
        <v>150</v>
      </c>
      <c r="BX51" s="117">
        <f>BW51*BW18/1000*0.8862</f>
        <v>1.3957649999999999</v>
      </c>
      <c r="BY51" s="118">
        <f>BW51*BW18/1000*(1-0.8862)</f>
        <v>0.17923500000000001</v>
      </c>
      <c r="BZ51" s="116">
        <v>150</v>
      </c>
      <c r="CA51" s="117">
        <f>BZ51*BZ18/1000*0.8862</f>
        <v>1.3957649999999999</v>
      </c>
      <c r="CB51" s="118">
        <f>BZ51*BZ18/1000*(1-0.8862)</f>
        <v>0.17923500000000001</v>
      </c>
    </row>
    <row r="52" spans="1:80" ht="54" customHeight="1" thickBot="1" x14ac:dyDescent="0.25">
      <c r="A52" s="1072"/>
      <c r="B52" s="1079"/>
      <c r="C52" s="49" t="s">
        <v>64</v>
      </c>
      <c r="D52" s="60" t="s">
        <v>101</v>
      </c>
      <c r="E52" s="49" t="s">
        <v>124</v>
      </c>
      <c r="F52" s="142" t="s">
        <v>124</v>
      </c>
      <c r="G52" s="142" t="s">
        <v>124</v>
      </c>
      <c r="H52" s="143" t="s">
        <v>124</v>
      </c>
      <c r="I52" s="119">
        <v>0</v>
      </c>
      <c r="J52" s="100">
        <v>0</v>
      </c>
      <c r="K52" s="101">
        <v>0</v>
      </c>
      <c r="L52" s="119">
        <v>0</v>
      </c>
      <c r="M52" s="100">
        <v>0</v>
      </c>
      <c r="N52" s="101">
        <v>0</v>
      </c>
      <c r="O52" s="119">
        <v>0</v>
      </c>
      <c r="P52" s="100">
        <v>0</v>
      </c>
      <c r="Q52" s="101">
        <v>0</v>
      </c>
      <c r="R52" s="119">
        <v>0</v>
      </c>
      <c r="S52" s="100">
        <v>0</v>
      </c>
      <c r="T52" s="101">
        <v>0</v>
      </c>
      <c r="U52" s="119">
        <v>0</v>
      </c>
      <c r="V52" s="100">
        <v>0</v>
      </c>
      <c r="W52" s="101">
        <v>0</v>
      </c>
      <c r="X52" s="119">
        <v>0</v>
      </c>
      <c r="Y52" s="100">
        <v>0</v>
      </c>
      <c r="Z52" s="101">
        <v>0</v>
      </c>
      <c r="AA52" s="119">
        <v>0</v>
      </c>
      <c r="AB52" s="100">
        <v>0</v>
      </c>
      <c r="AC52" s="101">
        <v>0</v>
      </c>
      <c r="AD52" s="119">
        <v>0</v>
      </c>
      <c r="AE52" s="100">
        <v>0</v>
      </c>
      <c r="AF52" s="101">
        <v>0</v>
      </c>
      <c r="AG52" s="119">
        <v>0</v>
      </c>
      <c r="AH52" s="100">
        <v>0</v>
      </c>
      <c r="AI52" s="101">
        <v>0</v>
      </c>
      <c r="AJ52" s="119">
        <v>0</v>
      </c>
      <c r="AK52" s="100">
        <v>0</v>
      </c>
      <c r="AL52" s="101">
        <v>0</v>
      </c>
      <c r="AM52" s="119">
        <v>0</v>
      </c>
      <c r="AN52" s="100">
        <v>0</v>
      </c>
      <c r="AO52" s="101">
        <v>0</v>
      </c>
      <c r="AP52" s="119">
        <v>0</v>
      </c>
      <c r="AQ52" s="100">
        <v>0</v>
      </c>
      <c r="AR52" s="101">
        <v>0</v>
      </c>
      <c r="AS52" s="119">
        <v>0</v>
      </c>
      <c r="AT52" s="100">
        <v>0</v>
      </c>
      <c r="AU52" s="101">
        <v>0</v>
      </c>
      <c r="AV52" s="119">
        <v>0</v>
      </c>
      <c r="AW52" s="100">
        <v>0</v>
      </c>
      <c r="AX52" s="101">
        <v>0</v>
      </c>
      <c r="AY52" s="119">
        <v>0</v>
      </c>
      <c r="AZ52" s="100">
        <v>0</v>
      </c>
      <c r="BA52" s="101">
        <v>0</v>
      </c>
      <c r="BB52" s="119">
        <v>0</v>
      </c>
      <c r="BC52" s="100">
        <v>0</v>
      </c>
      <c r="BD52" s="101">
        <v>0</v>
      </c>
      <c r="BE52" s="119">
        <v>0</v>
      </c>
      <c r="BF52" s="100">
        <v>0</v>
      </c>
      <c r="BG52" s="101">
        <v>0</v>
      </c>
      <c r="BH52" s="119">
        <v>0</v>
      </c>
      <c r="BI52" s="100">
        <v>0</v>
      </c>
      <c r="BJ52" s="101">
        <v>0</v>
      </c>
      <c r="BK52" s="119">
        <v>0</v>
      </c>
      <c r="BL52" s="100">
        <v>0</v>
      </c>
      <c r="BM52" s="101">
        <v>0</v>
      </c>
      <c r="BN52" s="119">
        <v>0</v>
      </c>
      <c r="BO52" s="100">
        <v>0</v>
      </c>
      <c r="BP52" s="101">
        <v>0</v>
      </c>
      <c r="BQ52" s="119">
        <v>0</v>
      </c>
      <c r="BR52" s="100">
        <v>0</v>
      </c>
      <c r="BS52" s="101">
        <v>0</v>
      </c>
      <c r="BT52" s="119">
        <v>0</v>
      </c>
      <c r="BU52" s="100">
        <v>0</v>
      </c>
      <c r="BV52" s="101">
        <v>0</v>
      </c>
      <c r="BW52" s="119">
        <v>0</v>
      </c>
      <c r="BX52" s="100">
        <v>0</v>
      </c>
      <c r="BY52" s="101">
        <v>0</v>
      </c>
      <c r="BZ52" s="119">
        <v>0</v>
      </c>
      <c r="CA52" s="100">
        <v>0</v>
      </c>
      <c r="CB52" s="101">
        <v>0</v>
      </c>
    </row>
    <row r="53" spans="1:80" ht="54" customHeight="1" x14ac:dyDescent="0.2">
      <c r="A53" s="1072"/>
      <c r="B53" s="1072" t="s">
        <v>27</v>
      </c>
      <c r="C53" s="58" t="s">
        <v>74</v>
      </c>
      <c r="D53" s="66" t="s">
        <v>94</v>
      </c>
      <c r="E53" s="156" t="s">
        <v>124</v>
      </c>
      <c r="F53" s="157" t="s">
        <v>124</v>
      </c>
      <c r="G53" s="158" t="s">
        <v>124</v>
      </c>
      <c r="H53" s="159" t="s">
        <v>124</v>
      </c>
      <c r="I53" s="160">
        <v>150</v>
      </c>
      <c r="J53" s="161">
        <f>I53*I24/1000*0.8057</f>
        <v>1.232721</v>
      </c>
      <c r="K53" s="162">
        <f>I53*I24/1000*(1-0.8057)</f>
        <v>0.29727900000000007</v>
      </c>
      <c r="L53" s="160">
        <v>150</v>
      </c>
      <c r="M53" s="161">
        <f>L53*L24/1000*0.8057</f>
        <v>1.232721</v>
      </c>
      <c r="N53" s="162">
        <f>L53*L24/1000*(1-0.8057)</f>
        <v>0.29727900000000007</v>
      </c>
      <c r="O53" s="160">
        <v>150</v>
      </c>
      <c r="P53" s="161">
        <f>O53*O24/1000*0.8057</f>
        <v>1.232721</v>
      </c>
      <c r="Q53" s="162">
        <f>O53*O24/1000*(1-0.8057)</f>
        <v>0.29727900000000007</v>
      </c>
      <c r="R53" s="160">
        <v>150</v>
      </c>
      <c r="S53" s="161">
        <f>R53*R24/1000*0.8057</f>
        <v>1.232721</v>
      </c>
      <c r="T53" s="162">
        <f>R53*R24/1000*(1-0.8057)</f>
        <v>0.29727900000000007</v>
      </c>
      <c r="U53" s="160">
        <v>150</v>
      </c>
      <c r="V53" s="161">
        <f>U53*U24/1000*0.8057</f>
        <v>1.232721</v>
      </c>
      <c r="W53" s="162">
        <f>U53*U24/1000*(1-0.8057)</f>
        <v>0.29727900000000007</v>
      </c>
      <c r="X53" s="160">
        <v>150</v>
      </c>
      <c r="Y53" s="161">
        <f>X53*X24/1000*0.8057</f>
        <v>1.232721</v>
      </c>
      <c r="Z53" s="162">
        <f>X53*X24/1000*(1-0.8057)</f>
        <v>0.29727900000000007</v>
      </c>
      <c r="AA53" s="160">
        <v>150</v>
      </c>
      <c r="AB53" s="161">
        <f>AA53*AA24/1000*0.8057</f>
        <v>1.232721</v>
      </c>
      <c r="AC53" s="162">
        <f>AA53*AA24/1000*(1-0.8057)</f>
        <v>0.29727900000000007</v>
      </c>
      <c r="AD53" s="160">
        <v>200</v>
      </c>
      <c r="AE53" s="161">
        <f>AD53*AD24/1000*0.8057</f>
        <v>1.6436279999999996</v>
      </c>
      <c r="AF53" s="162">
        <f>AD53*AD24/1000*(1-0.8057)</f>
        <v>0.396372</v>
      </c>
      <c r="AG53" s="160">
        <v>200</v>
      </c>
      <c r="AH53" s="161">
        <f>AG53*AG24/1000*0.8057</f>
        <v>1.6436279999999996</v>
      </c>
      <c r="AI53" s="162">
        <f>AG53*AG24/1000*(1-0.8057)</f>
        <v>0.396372</v>
      </c>
      <c r="AJ53" s="160">
        <v>200</v>
      </c>
      <c r="AK53" s="161">
        <f>AJ53*AJ24/1000*0.8057</f>
        <v>1.6436279999999996</v>
      </c>
      <c r="AL53" s="162">
        <f>AJ53*AJ24/1000*(1-0.8057)</f>
        <v>0.396372</v>
      </c>
      <c r="AM53" s="160">
        <v>200</v>
      </c>
      <c r="AN53" s="161">
        <f>AM53*AM24/1000*0.8057</f>
        <v>1.6436279999999996</v>
      </c>
      <c r="AO53" s="162">
        <f>AM53*AM24/1000*(1-0.8057)</f>
        <v>0.396372</v>
      </c>
      <c r="AP53" s="160">
        <v>200</v>
      </c>
      <c r="AQ53" s="161">
        <f>AP53*AP24/1000*0.8057</f>
        <v>1.6436279999999996</v>
      </c>
      <c r="AR53" s="162">
        <f>AP53*AP24/1000*(1-0.8057)</f>
        <v>0.396372</v>
      </c>
      <c r="AS53" s="160">
        <v>200</v>
      </c>
      <c r="AT53" s="161">
        <f>AS53*AS24/1000*0.8057</f>
        <v>1.6436279999999996</v>
      </c>
      <c r="AU53" s="162">
        <f>AS53*AS24/1000*(1-0.8057)</f>
        <v>0.396372</v>
      </c>
      <c r="AV53" s="160">
        <v>200</v>
      </c>
      <c r="AW53" s="161">
        <f>AV53*AV24/1000*0.8057</f>
        <v>1.6436279999999996</v>
      </c>
      <c r="AX53" s="162">
        <f>AV53*AV24/1000*(1-0.8057)</f>
        <v>0.396372</v>
      </c>
      <c r="AY53" s="160">
        <v>200</v>
      </c>
      <c r="AZ53" s="161">
        <f>AY53*AY24/1000*0.8057</f>
        <v>1.6436279999999996</v>
      </c>
      <c r="BA53" s="162">
        <f>AY53*AY24/1000*(1-0.8057)</f>
        <v>0.396372</v>
      </c>
      <c r="BB53" s="160">
        <v>200</v>
      </c>
      <c r="BC53" s="161">
        <f>BB53*BB24/1000*0.8057</f>
        <v>1.6436279999999996</v>
      </c>
      <c r="BD53" s="162">
        <f>BB53*BB24/1000*(1-0.8057)</f>
        <v>0.396372</v>
      </c>
      <c r="BE53" s="160">
        <v>200</v>
      </c>
      <c r="BF53" s="161">
        <f>BE53*BE24/1000*0.8057</f>
        <v>1.6436279999999996</v>
      </c>
      <c r="BG53" s="162">
        <f>BE53*BE24/1000*(1-0.8057)</f>
        <v>0.396372</v>
      </c>
      <c r="BH53" s="160">
        <v>200</v>
      </c>
      <c r="BI53" s="161">
        <f>BH53*BH24/1000*0.8057</f>
        <v>1.6436279999999996</v>
      </c>
      <c r="BJ53" s="162">
        <f>BH53*BH24/1000*(1-0.8057)</f>
        <v>0.396372</v>
      </c>
      <c r="BK53" s="160">
        <v>180</v>
      </c>
      <c r="BL53" s="161">
        <f>BK53*BK24/1000*0.8057</f>
        <v>1.4792651999999997</v>
      </c>
      <c r="BM53" s="162">
        <f>BK53*BK24/1000*(1-0.8057)</f>
        <v>0.35673480000000002</v>
      </c>
      <c r="BN53" s="160">
        <v>180</v>
      </c>
      <c r="BO53" s="161">
        <f>BN53*BN24/1000*0.8057</f>
        <v>1.4792651999999997</v>
      </c>
      <c r="BP53" s="162">
        <f>BN53*BN24/1000*(1-0.8057)</f>
        <v>0.35673480000000002</v>
      </c>
      <c r="BQ53" s="160">
        <v>180</v>
      </c>
      <c r="BR53" s="161">
        <f>BQ53*BQ24/1000*0.8057</f>
        <v>1.4792651999999997</v>
      </c>
      <c r="BS53" s="162">
        <f>BQ53*BQ24/1000*(1-0.8057)</f>
        <v>0.35673480000000002</v>
      </c>
      <c r="BT53" s="160">
        <v>180</v>
      </c>
      <c r="BU53" s="161">
        <f>BT53*BT24/1000*0.8057</f>
        <v>1.4792651999999997</v>
      </c>
      <c r="BV53" s="162">
        <f>BT53*BT24/1000*(1-0.8057)</f>
        <v>0.35673480000000002</v>
      </c>
      <c r="BW53" s="160">
        <v>180</v>
      </c>
      <c r="BX53" s="161">
        <f>BW53*BW24/1000*0.8057</f>
        <v>1.4792651999999997</v>
      </c>
      <c r="BY53" s="162">
        <f>BW53*BW24/1000*(1-0.8057)</f>
        <v>0.35673480000000002</v>
      </c>
      <c r="BZ53" s="160">
        <v>180</v>
      </c>
      <c r="CA53" s="161">
        <f>BZ53*BZ24/1000*0.8057</f>
        <v>1.4792651999999997</v>
      </c>
      <c r="CB53" s="162">
        <f>BZ53*BZ24/1000*(1-0.8057)</f>
        <v>0.35673480000000002</v>
      </c>
    </row>
    <row r="54" spans="1:80" ht="54" customHeight="1" x14ac:dyDescent="0.2">
      <c r="A54" s="1072"/>
      <c r="B54" s="1072"/>
      <c r="C54" s="56" t="s">
        <v>76</v>
      </c>
      <c r="D54" s="59" t="s">
        <v>95</v>
      </c>
      <c r="E54" s="144" t="s">
        <v>124</v>
      </c>
      <c r="F54" s="145" t="s">
        <v>124</v>
      </c>
      <c r="G54" s="146" t="s">
        <v>124</v>
      </c>
      <c r="H54" s="147" t="s">
        <v>124</v>
      </c>
      <c r="I54" s="120">
        <v>0</v>
      </c>
      <c r="J54" s="163">
        <v>0</v>
      </c>
      <c r="K54" s="164">
        <v>0</v>
      </c>
      <c r="L54" s="120">
        <v>0</v>
      </c>
      <c r="M54" s="163">
        <v>0</v>
      </c>
      <c r="N54" s="164">
        <v>0</v>
      </c>
      <c r="O54" s="120">
        <v>0</v>
      </c>
      <c r="P54" s="163">
        <v>0</v>
      </c>
      <c r="Q54" s="164">
        <v>0</v>
      </c>
      <c r="R54" s="120">
        <v>0</v>
      </c>
      <c r="S54" s="163">
        <v>0</v>
      </c>
      <c r="T54" s="164">
        <v>0</v>
      </c>
      <c r="U54" s="120">
        <v>0</v>
      </c>
      <c r="V54" s="163">
        <v>0</v>
      </c>
      <c r="W54" s="164">
        <v>0</v>
      </c>
      <c r="X54" s="120">
        <v>0</v>
      </c>
      <c r="Y54" s="163">
        <v>0</v>
      </c>
      <c r="Z54" s="164">
        <v>0</v>
      </c>
      <c r="AA54" s="120">
        <v>0</v>
      </c>
      <c r="AB54" s="163">
        <v>0</v>
      </c>
      <c r="AC54" s="164">
        <v>0</v>
      </c>
      <c r="AD54" s="120">
        <v>0</v>
      </c>
      <c r="AE54" s="163">
        <v>0</v>
      </c>
      <c r="AF54" s="164">
        <v>0</v>
      </c>
      <c r="AG54" s="120">
        <v>0</v>
      </c>
      <c r="AH54" s="163">
        <v>0</v>
      </c>
      <c r="AI54" s="164">
        <v>0</v>
      </c>
      <c r="AJ54" s="120">
        <v>0</v>
      </c>
      <c r="AK54" s="163">
        <v>0</v>
      </c>
      <c r="AL54" s="164">
        <v>0</v>
      </c>
      <c r="AM54" s="120">
        <v>0</v>
      </c>
      <c r="AN54" s="163">
        <v>0</v>
      </c>
      <c r="AO54" s="164">
        <v>0</v>
      </c>
      <c r="AP54" s="120">
        <v>0</v>
      </c>
      <c r="AQ54" s="163">
        <v>0</v>
      </c>
      <c r="AR54" s="164">
        <v>0</v>
      </c>
      <c r="AS54" s="120">
        <v>0</v>
      </c>
      <c r="AT54" s="163">
        <v>0</v>
      </c>
      <c r="AU54" s="164">
        <v>0</v>
      </c>
      <c r="AV54" s="120">
        <v>0</v>
      </c>
      <c r="AW54" s="163">
        <v>0</v>
      </c>
      <c r="AX54" s="164">
        <v>0</v>
      </c>
      <c r="AY54" s="120">
        <v>0</v>
      </c>
      <c r="AZ54" s="163">
        <v>0</v>
      </c>
      <c r="BA54" s="164">
        <v>0</v>
      </c>
      <c r="BB54" s="120">
        <v>0</v>
      </c>
      <c r="BC54" s="163">
        <v>0</v>
      </c>
      <c r="BD54" s="164">
        <v>0</v>
      </c>
      <c r="BE54" s="120">
        <v>0</v>
      </c>
      <c r="BF54" s="163">
        <v>0</v>
      </c>
      <c r="BG54" s="164">
        <v>0</v>
      </c>
      <c r="BH54" s="120">
        <v>0</v>
      </c>
      <c r="BI54" s="163">
        <v>0</v>
      </c>
      <c r="BJ54" s="164">
        <v>0</v>
      </c>
      <c r="BK54" s="120">
        <v>0</v>
      </c>
      <c r="BL54" s="163">
        <v>0</v>
      </c>
      <c r="BM54" s="164">
        <v>0</v>
      </c>
      <c r="BN54" s="120">
        <v>0</v>
      </c>
      <c r="BO54" s="163">
        <v>0</v>
      </c>
      <c r="BP54" s="164">
        <v>0</v>
      </c>
      <c r="BQ54" s="120">
        <v>0</v>
      </c>
      <c r="BR54" s="163">
        <v>0</v>
      </c>
      <c r="BS54" s="164">
        <v>0</v>
      </c>
      <c r="BT54" s="120">
        <v>0</v>
      </c>
      <c r="BU54" s="163">
        <v>0</v>
      </c>
      <c r="BV54" s="164">
        <v>0</v>
      </c>
      <c r="BW54" s="120">
        <v>0</v>
      </c>
      <c r="BX54" s="163">
        <v>0</v>
      </c>
      <c r="BY54" s="164">
        <v>0</v>
      </c>
      <c r="BZ54" s="120">
        <v>0</v>
      </c>
      <c r="CA54" s="163">
        <v>0</v>
      </c>
      <c r="CB54" s="164">
        <v>0</v>
      </c>
    </row>
    <row r="55" spans="1:80" ht="54" customHeight="1" x14ac:dyDescent="0.2">
      <c r="A55" s="1072"/>
      <c r="B55" s="1072"/>
      <c r="C55" s="58" t="s">
        <v>50</v>
      </c>
      <c r="D55" s="59" t="s">
        <v>96</v>
      </c>
      <c r="E55" s="148" t="s">
        <v>124</v>
      </c>
      <c r="F55" s="149" t="s">
        <v>124</v>
      </c>
      <c r="G55" s="150" t="s">
        <v>124</v>
      </c>
      <c r="H55" s="151" t="s">
        <v>124</v>
      </c>
      <c r="I55" s="123">
        <v>20</v>
      </c>
      <c r="J55" s="165">
        <f>I55*I24/1000*0.9388</f>
        <v>0.19151519999999997</v>
      </c>
      <c r="K55" s="166">
        <f>I55*I24/1000*(1-0.9388)</f>
        <v>1.2484800000000006E-2</v>
      </c>
      <c r="L55" s="123">
        <v>20</v>
      </c>
      <c r="M55" s="165">
        <f>L55*L24/1000*0.9388</f>
        <v>0.19151519999999997</v>
      </c>
      <c r="N55" s="166">
        <f>L55*L24/1000*(1-0.9388)</f>
        <v>1.2484800000000006E-2</v>
      </c>
      <c r="O55" s="123">
        <v>20</v>
      </c>
      <c r="P55" s="165">
        <f>O55*O24/1000*0.9388</f>
        <v>0.19151519999999997</v>
      </c>
      <c r="Q55" s="166">
        <f>O55*O24/1000*(1-0.9388)</f>
        <v>1.2484800000000006E-2</v>
      </c>
      <c r="R55" s="123">
        <v>20</v>
      </c>
      <c r="S55" s="165">
        <f>R55*R24/1000*0.9388</f>
        <v>0.19151519999999997</v>
      </c>
      <c r="T55" s="166">
        <f>R55*R24/1000*(1-0.9388)</f>
        <v>1.2484800000000006E-2</v>
      </c>
      <c r="U55" s="123">
        <v>20</v>
      </c>
      <c r="V55" s="165">
        <f>U55*U24/1000*0.9388</f>
        <v>0.19151519999999997</v>
      </c>
      <c r="W55" s="166">
        <f>U55*U24/1000*(1-0.9388)</f>
        <v>1.2484800000000006E-2</v>
      </c>
      <c r="X55" s="123">
        <v>20</v>
      </c>
      <c r="Y55" s="165">
        <f>X55*X24/1000*0.9388</f>
        <v>0.19151519999999997</v>
      </c>
      <c r="Z55" s="166">
        <f>X55*X24/1000*(1-0.9388)</f>
        <v>1.2484800000000006E-2</v>
      </c>
      <c r="AA55" s="123">
        <v>20</v>
      </c>
      <c r="AB55" s="165">
        <f>AA55*AA24/1000*0.9388</f>
        <v>0.19151519999999997</v>
      </c>
      <c r="AC55" s="166">
        <f>AA55*AA24/1000*(1-0.9388)</f>
        <v>1.2484800000000006E-2</v>
      </c>
      <c r="AD55" s="123">
        <v>40</v>
      </c>
      <c r="AE55" s="165">
        <f>AD55*AD24/1000*0.9388</f>
        <v>0.38303039999999994</v>
      </c>
      <c r="AF55" s="166">
        <f>AD55*AD24/1000*(1-0.9388)</f>
        <v>2.4969600000000012E-2</v>
      </c>
      <c r="AG55" s="123">
        <v>40</v>
      </c>
      <c r="AH55" s="165">
        <f>AG55*AG24/1000*0.9388</f>
        <v>0.38303039999999994</v>
      </c>
      <c r="AI55" s="166">
        <f>AG55*AG24/1000*(1-0.9388)</f>
        <v>2.4969600000000012E-2</v>
      </c>
      <c r="AJ55" s="123">
        <v>40</v>
      </c>
      <c r="AK55" s="165">
        <f>AJ55*AJ24/1000*0.9388</f>
        <v>0.38303039999999994</v>
      </c>
      <c r="AL55" s="166">
        <f>AJ55*AJ24/1000*(1-0.9388)</f>
        <v>2.4969600000000012E-2</v>
      </c>
      <c r="AM55" s="123">
        <v>40</v>
      </c>
      <c r="AN55" s="165">
        <f>AM55*AM24/1000*0.9388</f>
        <v>0.38303039999999994</v>
      </c>
      <c r="AO55" s="166">
        <f>AM55*AM24/1000*(1-0.9388)</f>
        <v>2.4969600000000012E-2</v>
      </c>
      <c r="AP55" s="123">
        <v>40</v>
      </c>
      <c r="AQ55" s="165">
        <f>AP55*AP24/1000*0.9388</f>
        <v>0.38303039999999994</v>
      </c>
      <c r="AR55" s="166">
        <f>AP55*AP24/1000*(1-0.9388)</f>
        <v>2.4969600000000012E-2</v>
      </c>
      <c r="AS55" s="123">
        <v>40</v>
      </c>
      <c r="AT55" s="165">
        <f>AS55*AS24/1000*0.9388</f>
        <v>0.38303039999999994</v>
      </c>
      <c r="AU55" s="166">
        <f>AS55*AS24/1000*(1-0.9388)</f>
        <v>2.4969600000000012E-2</v>
      </c>
      <c r="AV55" s="123">
        <v>40</v>
      </c>
      <c r="AW55" s="165">
        <f>AV55*AV24/1000*0.9388</f>
        <v>0.38303039999999994</v>
      </c>
      <c r="AX55" s="166">
        <f>AV55*AV24/1000*(1-0.9388)</f>
        <v>2.4969600000000012E-2</v>
      </c>
      <c r="AY55" s="123">
        <v>50</v>
      </c>
      <c r="AZ55" s="165">
        <f>AY55*AY24/1000*0.9388</f>
        <v>0.47878799999999988</v>
      </c>
      <c r="BA55" s="166">
        <f>AY55*AY24/1000*(1-0.9388)</f>
        <v>3.1212000000000011E-2</v>
      </c>
      <c r="BB55" s="123">
        <v>50</v>
      </c>
      <c r="BC55" s="165">
        <f>BB55*BB24/1000*0.9388</f>
        <v>0.47878799999999988</v>
      </c>
      <c r="BD55" s="166">
        <f>BB55*BB24/1000*(1-0.9388)</f>
        <v>3.1212000000000011E-2</v>
      </c>
      <c r="BE55" s="123">
        <v>50</v>
      </c>
      <c r="BF55" s="165">
        <f>BE55*BE24/1000*0.9388</f>
        <v>0.47878799999999988</v>
      </c>
      <c r="BG55" s="166">
        <f>BE55*BE24/1000*(1-0.9388)</f>
        <v>3.1212000000000011E-2</v>
      </c>
      <c r="BH55" s="123">
        <v>50</v>
      </c>
      <c r="BI55" s="165">
        <f>BH55*BH24/1000*0.9388</f>
        <v>0.47878799999999988</v>
      </c>
      <c r="BJ55" s="166">
        <f>BH55*BH24/1000*(1-0.9388)</f>
        <v>3.1212000000000011E-2</v>
      </c>
      <c r="BK55" s="123">
        <v>10</v>
      </c>
      <c r="BL55" s="165">
        <f>BK55*BK24/1000*0.9388</f>
        <v>9.5757599999999984E-2</v>
      </c>
      <c r="BM55" s="166">
        <f>BK55*BK24/1000*(1-0.9388)</f>
        <v>6.242400000000003E-3</v>
      </c>
      <c r="BN55" s="123">
        <v>20</v>
      </c>
      <c r="BO55" s="165">
        <f>BN55*BN24/1000*0.9388</f>
        <v>0.19151519999999997</v>
      </c>
      <c r="BP55" s="166">
        <f>BN55*BN24/1000*(1-0.9388)</f>
        <v>1.2484800000000006E-2</v>
      </c>
      <c r="BQ55" s="123">
        <v>20</v>
      </c>
      <c r="BR55" s="165">
        <f>BQ55*BQ24/1000*0.9388</f>
        <v>0.19151519999999997</v>
      </c>
      <c r="BS55" s="166">
        <f>BQ55*BQ24/1000*(1-0.9388)</f>
        <v>1.2484800000000006E-2</v>
      </c>
      <c r="BT55" s="123">
        <v>20</v>
      </c>
      <c r="BU55" s="165">
        <f>BT55*BT24/1000*0.9388</f>
        <v>0.19151519999999997</v>
      </c>
      <c r="BV55" s="166">
        <f>BT55*BT24/1000*(1-0.9388)</f>
        <v>1.2484800000000006E-2</v>
      </c>
      <c r="BW55" s="123">
        <v>20</v>
      </c>
      <c r="BX55" s="165">
        <f>BW55*BW24/1000*0.9388</f>
        <v>0.19151519999999997</v>
      </c>
      <c r="BY55" s="166">
        <f>BW55*BW24/1000*(1-0.9388)</f>
        <v>1.2484800000000006E-2</v>
      </c>
      <c r="BZ55" s="123">
        <v>20</v>
      </c>
      <c r="CA55" s="165">
        <f>BZ55*BZ24/1000*0.9388</f>
        <v>0.19151519999999997</v>
      </c>
      <c r="CB55" s="166">
        <f>BZ55*BZ24/1000*(1-0.9388)</f>
        <v>1.2484800000000006E-2</v>
      </c>
    </row>
    <row r="56" spans="1:80" ht="54" customHeight="1" x14ac:dyDescent="0.2">
      <c r="A56" s="1072"/>
      <c r="B56" s="1072"/>
      <c r="C56" s="61" t="s">
        <v>97</v>
      </c>
      <c r="D56" s="67" t="s">
        <v>98</v>
      </c>
      <c r="E56" s="148" t="s">
        <v>124</v>
      </c>
      <c r="F56" s="149" t="s">
        <v>124</v>
      </c>
      <c r="G56" s="150" t="s">
        <v>124</v>
      </c>
      <c r="H56" s="151" t="s">
        <v>124</v>
      </c>
      <c r="I56" s="123">
        <v>50</v>
      </c>
      <c r="J56" s="165">
        <f>I56*I24/1000*0.9075</f>
        <v>0.46282499999999988</v>
      </c>
      <c r="K56" s="166">
        <f>I56*I24/1000*(1-0.9075)</f>
        <v>4.7175000000000002E-2</v>
      </c>
      <c r="L56" s="123">
        <v>50</v>
      </c>
      <c r="M56" s="165">
        <f>L56*L24/1000*0.9075</f>
        <v>0.46282499999999988</v>
      </c>
      <c r="N56" s="166">
        <f>L56*L24/1000*(1-0.9075)</f>
        <v>4.7175000000000002E-2</v>
      </c>
      <c r="O56" s="123">
        <v>50</v>
      </c>
      <c r="P56" s="165">
        <f>O56*O24/1000*0.9075</f>
        <v>0.46282499999999988</v>
      </c>
      <c r="Q56" s="166">
        <f>O56*O24/1000*(1-0.9075)</f>
        <v>4.7175000000000002E-2</v>
      </c>
      <c r="R56" s="123">
        <v>50</v>
      </c>
      <c r="S56" s="165">
        <f>R56*R24/1000*0.9075</f>
        <v>0.46282499999999988</v>
      </c>
      <c r="T56" s="166">
        <f>R56*R24/1000*(1-0.9075)</f>
        <v>4.7175000000000002E-2</v>
      </c>
      <c r="U56" s="123">
        <v>50</v>
      </c>
      <c r="V56" s="165">
        <f>U56*U24/1000*0.9075</f>
        <v>0.46282499999999988</v>
      </c>
      <c r="W56" s="166">
        <f>U56*U24/1000*(1-0.9075)</f>
        <v>4.7175000000000002E-2</v>
      </c>
      <c r="X56" s="123">
        <v>50</v>
      </c>
      <c r="Y56" s="165">
        <f>X56*X24/1000*0.9075</f>
        <v>0.46282499999999988</v>
      </c>
      <c r="Z56" s="166">
        <f>X56*X24/1000*(1-0.9075)</f>
        <v>4.7175000000000002E-2</v>
      </c>
      <c r="AA56" s="123">
        <v>50</v>
      </c>
      <c r="AB56" s="165">
        <f>AA56*AA24/1000*0.9075</f>
        <v>0.46282499999999988</v>
      </c>
      <c r="AC56" s="166">
        <f>AA56*AA24/1000*(1-0.9075)</f>
        <v>4.7175000000000002E-2</v>
      </c>
      <c r="AD56" s="123">
        <v>60</v>
      </c>
      <c r="AE56" s="165">
        <f>AD56*AD24/1000*0.9075</f>
        <v>0.55538999999999994</v>
      </c>
      <c r="AF56" s="166">
        <f>AD56*AD24/1000*(1-0.9075)</f>
        <v>5.6610000000000014E-2</v>
      </c>
      <c r="AG56" s="123">
        <v>60</v>
      </c>
      <c r="AH56" s="165">
        <f>AG56*AG24/1000*0.9075</f>
        <v>0.55538999999999994</v>
      </c>
      <c r="AI56" s="166">
        <f>AG56*AG24/1000*(1-0.9075)</f>
        <v>5.6610000000000014E-2</v>
      </c>
      <c r="AJ56" s="123">
        <v>60</v>
      </c>
      <c r="AK56" s="165">
        <f>AJ56*AJ24/1000*0.9075</f>
        <v>0.55538999999999994</v>
      </c>
      <c r="AL56" s="166">
        <f>AJ56*AJ24/1000*(1-0.9075)</f>
        <v>5.6610000000000014E-2</v>
      </c>
      <c r="AM56" s="123">
        <v>60</v>
      </c>
      <c r="AN56" s="165">
        <f>AM56*AM24/1000*0.9075</f>
        <v>0.55538999999999994</v>
      </c>
      <c r="AO56" s="166">
        <f>AM56*AM24/1000*(1-0.9075)</f>
        <v>5.6610000000000014E-2</v>
      </c>
      <c r="AP56" s="123">
        <v>60</v>
      </c>
      <c r="AQ56" s="165">
        <f>AP56*AP24/1000*0.9075</f>
        <v>0.55538999999999994</v>
      </c>
      <c r="AR56" s="166">
        <f>AP56*AP24/1000*(1-0.9075)</f>
        <v>5.6610000000000014E-2</v>
      </c>
      <c r="AS56" s="123">
        <v>60</v>
      </c>
      <c r="AT56" s="165">
        <f>AS56*AS24/1000*0.9075</f>
        <v>0.55538999999999994</v>
      </c>
      <c r="AU56" s="166">
        <f>AS56*AS24/1000*(1-0.9075)</f>
        <v>5.6610000000000014E-2</v>
      </c>
      <c r="AV56" s="123">
        <v>60</v>
      </c>
      <c r="AW56" s="165">
        <f>AV56*AV24/1000*0.9075</f>
        <v>0.55538999999999994</v>
      </c>
      <c r="AX56" s="166">
        <f>AV56*AV24/1000*(1-0.9075)</f>
        <v>5.6610000000000014E-2</v>
      </c>
      <c r="AY56" s="123">
        <v>65</v>
      </c>
      <c r="AZ56" s="165">
        <f>AY56*AY24/1000*0.9075</f>
        <v>0.60167250000000005</v>
      </c>
      <c r="BA56" s="166">
        <f>AY56*AY24/1000*(1-0.9075)</f>
        <v>6.1327500000000021E-2</v>
      </c>
      <c r="BB56" s="123">
        <v>65</v>
      </c>
      <c r="BC56" s="165">
        <f>BB56*BB24/1000*0.9075</f>
        <v>0.60167250000000005</v>
      </c>
      <c r="BD56" s="166">
        <f>BB56*BB24/1000*(1-0.9075)</f>
        <v>6.1327500000000021E-2</v>
      </c>
      <c r="BE56" s="123">
        <v>65</v>
      </c>
      <c r="BF56" s="165">
        <f>BE56*BE24/1000*0.9075</f>
        <v>0.60167250000000005</v>
      </c>
      <c r="BG56" s="166">
        <f>BE56*BE24/1000*(1-0.9075)</f>
        <v>6.1327500000000021E-2</v>
      </c>
      <c r="BH56" s="123">
        <v>65</v>
      </c>
      <c r="BI56" s="165">
        <f>BH56*BH24/1000*0.9075</f>
        <v>0.60167250000000005</v>
      </c>
      <c r="BJ56" s="166">
        <f>BH56*BH24/1000*(1-0.9075)</f>
        <v>6.1327500000000021E-2</v>
      </c>
      <c r="BK56" s="123">
        <v>80</v>
      </c>
      <c r="BL56" s="165">
        <f>BK56*BK24/1000*0.9075</f>
        <v>0.74051999999999996</v>
      </c>
      <c r="BM56" s="166">
        <f>BK56*BK24/1000*(1-0.9075)</f>
        <v>7.5480000000000019E-2</v>
      </c>
      <c r="BN56" s="123">
        <v>50</v>
      </c>
      <c r="BO56" s="165">
        <f>BN56*BN24/1000*0.9075</f>
        <v>0.46282499999999988</v>
      </c>
      <c r="BP56" s="166">
        <f>BN56*BN24/1000*(1-0.9075)</f>
        <v>4.7175000000000002E-2</v>
      </c>
      <c r="BQ56" s="123">
        <v>50</v>
      </c>
      <c r="BR56" s="165">
        <f>BQ56*BQ24/1000*0.9075</f>
        <v>0.46282499999999988</v>
      </c>
      <c r="BS56" s="166">
        <f>BQ56*BQ24/1000*(1-0.9075)</f>
        <v>4.7175000000000002E-2</v>
      </c>
      <c r="BT56" s="123">
        <v>40</v>
      </c>
      <c r="BU56" s="165">
        <f>BT56*BT24/1000*0.9075</f>
        <v>0.37025999999999998</v>
      </c>
      <c r="BV56" s="166">
        <f>BT56*BT24/1000*(1-0.9075)</f>
        <v>3.774000000000001E-2</v>
      </c>
      <c r="BW56" s="123">
        <v>40</v>
      </c>
      <c r="BX56" s="165">
        <f>BW56*BW24/1000*0.9075</f>
        <v>0.37025999999999998</v>
      </c>
      <c r="BY56" s="166">
        <f>BW56*BW24/1000*(1-0.9075)</f>
        <v>3.774000000000001E-2</v>
      </c>
      <c r="BZ56" s="123">
        <v>40</v>
      </c>
      <c r="CA56" s="165">
        <f>BZ56*BZ24/1000*0.9075</f>
        <v>0.37025999999999998</v>
      </c>
      <c r="CB56" s="166">
        <f>BZ56*BZ24/1000*(1-0.9075)</f>
        <v>3.774000000000001E-2</v>
      </c>
    </row>
    <row r="57" spans="1:80" ht="54" customHeight="1" thickBot="1" x14ac:dyDescent="0.25">
      <c r="A57" s="1079"/>
      <c r="B57" s="1079"/>
      <c r="C57" s="49" t="s">
        <v>99</v>
      </c>
      <c r="D57" s="50" t="s">
        <v>100</v>
      </c>
      <c r="E57" s="152" t="s">
        <v>124</v>
      </c>
      <c r="F57" s="153" t="s">
        <v>124</v>
      </c>
      <c r="G57" s="154" t="s">
        <v>124</v>
      </c>
      <c r="H57" s="155" t="s">
        <v>124</v>
      </c>
      <c r="I57" s="129">
        <v>0</v>
      </c>
      <c r="J57" s="167">
        <v>0</v>
      </c>
      <c r="K57" s="168">
        <v>0</v>
      </c>
      <c r="L57" s="129">
        <v>0</v>
      </c>
      <c r="M57" s="167">
        <v>0</v>
      </c>
      <c r="N57" s="168">
        <v>0</v>
      </c>
      <c r="O57" s="129">
        <v>0</v>
      </c>
      <c r="P57" s="167">
        <v>0</v>
      </c>
      <c r="Q57" s="168">
        <v>0</v>
      </c>
      <c r="R57" s="129">
        <v>0</v>
      </c>
      <c r="S57" s="167">
        <v>0</v>
      </c>
      <c r="T57" s="168">
        <v>0</v>
      </c>
      <c r="U57" s="129">
        <v>0</v>
      </c>
      <c r="V57" s="167">
        <v>0</v>
      </c>
      <c r="W57" s="168">
        <v>0</v>
      </c>
      <c r="X57" s="129">
        <v>0</v>
      </c>
      <c r="Y57" s="167">
        <v>0</v>
      </c>
      <c r="Z57" s="168">
        <v>0</v>
      </c>
      <c r="AA57" s="129">
        <v>0</v>
      </c>
      <c r="AB57" s="167">
        <v>0</v>
      </c>
      <c r="AC57" s="168">
        <v>0</v>
      </c>
      <c r="AD57" s="129">
        <v>0</v>
      </c>
      <c r="AE57" s="167">
        <v>0</v>
      </c>
      <c r="AF57" s="168">
        <v>0</v>
      </c>
      <c r="AG57" s="129">
        <v>0</v>
      </c>
      <c r="AH57" s="167">
        <v>0</v>
      </c>
      <c r="AI57" s="168">
        <v>0</v>
      </c>
      <c r="AJ57" s="129">
        <v>0</v>
      </c>
      <c r="AK57" s="167">
        <v>0</v>
      </c>
      <c r="AL57" s="168">
        <v>0</v>
      </c>
      <c r="AM57" s="129">
        <v>0</v>
      </c>
      <c r="AN57" s="167">
        <v>0</v>
      </c>
      <c r="AO57" s="168">
        <v>0</v>
      </c>
      <c r="AP57" s="129">
        <v>0</v>
      </c>
      <c r="AQ57" s="167">
        <v>0</v>
      </c>
      <c r="AR57" s="168">
        <v>0</v>
      </c>
      <c r="AS57" s="129">
        <v>0</v>
      </c>
      <c r="AT57" s="167">
        <v>0</v>
      </c>
      <c r="AU57" s="168">
        <v>0</v>
      </c>
      <c r="AV57" s="129">
        <v>0</v>
      </c>
      <c r="AW57" s="167">
        <v>0</v>
      </c>
      <c r="AX57" s="168">
        <v>0</v>
      </c>
      <c r="AY57" s="129">
        <v>0</v>
      </c>
      <c r="AZ57" s="167">
        <v>0</v>
      </c>
      <c r="BA57" s="168">
        <v>0</v>
      </c>
      <c r="BB57" s="129">
        <v>0</v>
      </c>
      <c r="BC57" s="167">
        <v>0</v>
      </c>
      <c r="BD57" s="168">
        <v>0</v>
      </c>
      <c r="BE57" s="129">
        <v>0</v>
      </c>
      <c r="BF57" s="167">
        <v>0</v>
      </c>
      <c r="BG57" s="168">
        <v>0</v>
      </c>
      <c r="BH57" s="129">
        <v>0</v>
      </c>
      <c r="BI57" s="167">
        <v>0</v>
      </c>
      <c r="BJ57" s="168">
        <v>0</v>
      </c>
      <c r="BK57" s="129">
        <v>0</v>
      </c>
      <c r="BL57" s="167">
        <v>0</v>
      </c>
      <c r="BM57" s="168">
        <v>0</v>
      </c>
      <c r="BN57" s="129">
        <v>0</v>
      </c>
      <c r="BO57" s="167">
        <v>0</v>
      </c>
      <c r="BP57" s="168">
        <v>0</v>
      </c>
      <c r="BQ57" s="129">
        <v>0</v>
      </c>
      <c r="BR57" s="167">
        <v>0</v>
      </c>
      <c r="BS57" s="168">
        <v>0</v>
      </c>
      <c r="BT57" s="129">
        <v>0</v>
      </c>
      <c r="BU57" s="167">
        <v>0</v>
      </c>
      <c r="BV57" s="168">
        <v>0</v>
      </c>
      <c r="BW57" s="129">
        <v>0</v>
      </c>
      <c r="BX57" s="167">
        <v>0</v>
      </c>
      <c r="BY57" s="168">
        <v>0</v>
      </c>
      <c r="BZ57" s="129">
        <v>0</v>
      </c>
      <c r="CA57" s="167">
        <v>0</v>
      </c>
      <c r="CB57" s="168">
        <v>0</v>
      </c>
    </row>
    <row r="58" spans="1:80" ht="15" x14ac:dyDescent="0.25">
      <c r="A58" s="1070" t="s">
        <v>28</v>
      </c>
      <c r="B58" s="1018"/>
      <c r="C58" s="1018"/>
      <c r="D58" s="1018"/>
      <c r="E58" s="1026" t="s">
        <v>125</v>
      </c>
      <c r="F58" s="1027"/>
      <c r="G58" s="1027"/>
      <c r="H58" s="1027"/>
      <c r="I58" s="1027"/>
      <c r="J58" s="1027"/>
      <c r="K58" s="1027"/>
      <c r="L58" s="1027"/>
      <c r="M58" s="1027"/>
      <c r="N58" s="1027"/>
      <c r="O58" s="1027"/>
      <c r="P58" s="1027"/>
      <c r="Q58" s="1027"/>
      <c r="R58" s="1027"/>
      <c r="S58" s="1027"/>
      <c r="T58" s="1028"/>
      <c r="U58" s="1"/>
    </row>
    <row r="59" spans="1:80" ht="15" x14ac:dyDescent="0.25">
      <c r="A59" s="1070"/>
      <c r="B59" s="1018"/>
      <c r="C59" s="1018"/>
      <c r="D59" s="1018"/>
      <c r="E59" s="1026"/>
      <c r="F59" s="1027"/>
      <c r="G59" s="1027"/>
      <c r="H59" s="1027"/>
      <c r="I59" s="1027"/>
      <c r="J59" s="1027"/>
      <c r="K59" s="1027"/>
      <c r="L59" s="1027"/>
      <c r="M59" s="1027"/>
      <c r="N59" s="1027"/>
      <c r="O59" s="1027"/>
      <c r="P59" s="1027"/>
      <c r="Q59" s="1027"/>
      <c r="R59" s="1027"/>
      <c r="S59" s="1027"/>
      <c r="T59" s="1028"/>
      <c r="U59" s="1"/>
    </row>
    <row r="60" spans="1:80" ht="15.75" thickBot="1" x14ac:dyDescent="0.3">
      <c r="A60" s="1051"/>
      <c r="B60" s="1019"/>
      <c r="C60" s="1019"/>
      <c r="D60" s="1019"/>
      <c r="E60" s="1029"/>
      <c r="F60" s="1030"/>
      <c r="G60" s="1030"/>
      <c r="H60" s="1030"/>
      <c r="I60" s="1030"/>
      <c r="J60" s="1030"/>
      <c r="K60" s="1030"/>
      <c r="L60" s="1030"/>
      <c r="M60" s="1030"/>
      <c r="N60" s="1030"/>
      <c r="O60" s="1030"/>
      <c r="P60" s="1030"/>
      <c r="Q60" s="1030"/>
      <c r="R60" s="1030"/>
      <c r="S60" s="1030"/>
      <c r="T60" s="1031"/>
      <c r="U60" s="1"/>
    </row>
    <row r="61" spans="1:80" ht="12" customHeight="1" x14ac:dyDescent="0.25">
      <c r="A61" s="3"/>
      <c r="B61" s="4"/>
      <c r="C61" s="5"/>
      <c r="D61" s="3"/>
      <c r="U61" s="1"/>
    </row>
    <row r="62" spans="1:80" ht="15" x14ac:dyDescent="0.25">
      <c r="U62" s="1"/>
    </row>
    <row r="63" spans="1:80" ht="13.5" customHeight="1" x14ac:dyDescent="0.25">
      <c r="U63" s="1"/>
    </row>
    <row r="64" spans="1:80" ht="15" hidden="1" x14ac:dyDescent="0.25">
      <c r="U64" s="1"/>
    </row>
    <row r="65" spans="1:21" ht="15" hidden="1" x14ac:dyDescent="0.25">
      <c r="U65" s="1"/>
    </row>
    <row r="66" spans="1:21" ht="15.75" hidden="1" customHeight="1" thickBot="1" x14ac:dyDescent="0.3">
      <c r="U66" s="1"/>
    </row>
    <row r="67" spans="1:21" ht="15" hidden="1" x14ac:dyDescent="0.25">
      <c r="U67" s="1"/>
    </row>
    <row r="68" spans="1:21" ht="15" x14ac:dyDescent="0.25">
      <c r="U68" s="1"/>
    </row>
    <row r="69" spans="1:21" ht="15" x14ac:dyDescent="0.25">
      <c r="U69" s="1"/>
    </row>
    <row r="70" spans="1:21" ht="15" x14ac:dyDescent="0.25">
      <c r="U70" s="1"/>
    </row>
    <row r="71" spans="1:21" s="3" customForma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1" s="3" customForma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</sheetData>
  <mergeCells count="645">
    <mergeCell ref="A58:D60"/>
    <mergeCell ref="E58:T60"/>
    <mergeCell ref="Q46:Q47"/>
    <mergeCell ref="R46:R47"/>
    <mergeCell ref="S46:S47"/>
    <mergeCell ref="T46:T47"/>
    <mergeCell ref="A48:A57"/>
    <mergeCell ref="B48:B52"/>
    <mergeCell ref="B53:B57"/>
    <mergeCell ref="K46:K47"/>
    <mergeCell ref="L46:L47"/>
    <mergeCell ref="M46:M47"/>
    <mergeCell ref="N46:N47"/>
    <mergeCell ref="O46:O47"/>
    <mergeCell ref="P46:P47"/>
    <mergeCell ref="A45:H45"/>
    <mergeCell ref="I45:K45"/>
    <mergeCell ref="L45:N45"/>
    <mergeCell ref="O45:Q45"/>
    <mergeCell ref="R45:T45"/>
    <mergeCell ref="A46:D47"/>
    <mergeCell ref="E46:F46"/>
    <mergeCell ref="G46:H46"/>
    <mergeCell ref="I46:I47"/>
    <mergeCell ref="J46:J47"/>
    <mergeCell ref="A43:D43"/>
    <mergeCell ref="E43:G43"/>
    <mergeCell ref="N43:O43"/>
    <mergeCell ref="Q43:R43"/>
    <mergeCell ref="F44:G44"/>
    <mergeCell ref="N44:O44"/>
    <mergeCell ref="Q44:R44"/>
    <mergeCell ref="A41:D41"/>
    <mergeCell ref="E41:G41"/>
    <mergeCell ref="N41:O41"/>
    <mergeCell ref="Q41:R41"/>
    <mergeCell ref="A42:D42"/>
    <mergeCell ref="E42:G42"/>
    <mergeCell ref="N42:O42"/>
    <mergeCell ref="Q42:R42"/>
    <mergeCell ref="A38:D39"/>
    <mergeCell ref="E38:H38"/>
    <mergeCell ref="E39:H39"/>
    <mergeCell ref="F40:G40"/>
    <mergeCell ref="N40:O40"/>
    <mergeCell ref="Q40:R40"/>
    <mergeCell ref="Q32:Q34"/>
    <mergeCell ref="R32:R34"/>
    <mergeCell ref="S32:S34"/>
    <mergeCell ref="A32:C37"/>
    <mergeCell ref="D32:D37"/>
    <mergeCell ref="T32:T34"/>
    <mergeCell ref="E35:F37"/>
    <mergeCell ref="G35:H37"/>
    <mergeCell ref="I35:K37"/>
    <mergeCell ref="L35:N37"/>
    <mergeCell ref="O35:Q37"/>
    <mergeCell ref="R35:T37"/>
    <mergeCell ref="K32:K34"/>
    <mergeCell ref="L32:L34"/>
    <mergeCell ref="M32:M34"/>
    <mergeCell ref="N32:N34"/>
    <mergeCell ref="O32:O34"/>
    <mergeCell ref="P32:P34"/>
    <mergeCell ref="E32:F34"/>
    <mergeCell ref="G32:H34"/>
    <mergeCell ref="I32:I34"/>
    <mergeCell ref="J32:J34"/>
    <mergeCell ref="R26:R28"/>
    <mergeCell ref="S26:S28"/>
    <mergeCell ref="T26:T28"/>
    <mergeCell ref="E29:F31"/>
    <mergeCell ref="G29:H31"/>
    <mergeCell ref="I29:K31"/>
    <mergeCell ref="L29:N31"/>
    <mergeCell ref="O29:Q31"/>
    <mergeCell ref="R29:T31"/>
    <mergeCell ref="K26:K28"/>
    <mergeCell ref="L26:L28"/>
    <mergeCell ref="M26:M28"/>
    <mergeCell ref="N26:N28"/>
    <mergeCell ref="O26:O28"/>
    <mergeCell ref="P26:P28"/>
    <mergeCell ref="A26:C31"/>
    <mergeCell ref="D26:D31"/>
    <mergeCell ref="E26:F28"/>
    <mergeCell ref="G26:H28"/>
    <mergeCell ref="I26:I28"/>
    <mergeCell ref="J26:J28"/>
    <mergeCell ref="I24:K24"/>
    <mergeCell ref="L24:N24"/>
    <mergeCell ref="O24:Q24"/>
    <mergeCell ref="A20:C25"/>
    <mergeCell ref="D20:D25"/>
    <mergeCell ref="E20:F21"/>
    <mergeCell ref="G20:H20"/>
    <mergeCell ref="G21:H21"/>
    <mergeCell ref="Q26:Q28"/>
    <mergeCell ref="E19:H19"/>
    <mergeCell ref="I19:K19"/>
    <mergeCell ref="L19:N19"/>
    <mergeCell ref="O19:Q19"/>
    <mergeCell ref="R19:T19"/>
    <mergeCell ref="R24:T24"/>
    <mergeCell ref="E25:H25"/>
    <mergeCell ref="I25:K25"/>
    <mergeCell ref="L25:N25"/>
    <mergeCell ref="O25:Q25"/>
    <mergeCell ref="R25:T25"/>
    <mergeCell ref="I22:K22"/>
    <mergeCell ref="L22:N22"/>
    <mergeCell ref="O22:Q22"/>
    <mergeCell ref="R22:T22"/>
    <mergeCell ref="E23:F24"/>
    <mergeCell ref="G23:H23"/>
    <mergeCell ref="I23:K23"/>
    <mergeCell ref="L23:N23"/>
    <mergeCell ref="O23:Q23"/>
    <mergeCell ref="R23:T23"/>
    <mergeCell ref="E22:H22"/>
    <mergeCell ref="G24:H24"/>
    <mergeCell ref="R16:T16"/>
    <mergeCell ref="E17:F18"/>
    <mergeCell ref="G17:H17"/>
    <mergeCell ref="I17:K17"/>
    <mergeCell ref="L17:N17"/>
    <mergeCell ref="O17:Q17"/>
    <mergeCell ref="R17:T17"/>
    <mergeCell ref="G18:H18"/>
    <mergeCell ref="I18:K18"/>
    <mergeCell ref="L18:N18"/>
    <mergeCell ref="O18:Q18"/>
    <mergeCell ref="R18:T18"/>
    <mergeCell ref="R12:R13"/>
    <mergeCell ref="S12:S13"/>
    <mergeCell ref="T12:T13"/>
    <mergeCell ref="A14:C19"/>
    <mergeCell ref="D14:D19"/>
    <mergeCell ref="E14:F15"/>
    <mergeCell ref="G14:H14"/>
    <mergeCell ref="G15:H15"/>
    <mergeCell ref="E16:H16"/>
    <mergeCell ref="I16:K16"/>
    <mergeCell ref="L12:L13"/>
    <mergeCell ref="M12:M13"/>
    <mergeCell ref="N12:N13"/>
    <mergeCell ref="O12:O13"/>
    <mergeCell ref="P12:P13"/>
    <mergeCell ref="Q12:Q13"/>
    <mergeCell ref="A12:C13"/>
    <mergeCell ref="D12:D13"/>
    <mergeCell ref="E12:H13"/>
    <mergeCell ref="I12:I13"/>
    <mergeCell ref="J12:J13"/>
    <mergeCell ref="K12:K13"/>
    <mergeCell ref="L16:N16"/>
    <mergeCell ref="O16:Q16"/>
    <mergeCell ref="Q7:T7"/>
    <mergeCell ref="Q8:T8"/>
    <mergeCell ref="A9:T10"/>
    <mergeCell ref="A11:H11"/>
    <mergeCell ref="I11:K11"/>
    <mergeCell ref="L11:N11"/>
    <mergeCell ref="O11:Q11"/>
    <mergeCell ref="R11:T11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AV11:AX11"/>
    <mergeCell ref="AY11:BA11"/>
    <mergeCell ref="BB11:BD11"/>
    <mergeCell ref="BE11:BG11"/>
    <mergeCell ref="BH11:BJ11"/>
    <mergeCell ref="BK11:BM11"/>
    <mergeCell ref="BN11:BP11"/>
    <mergeCell ref="BQ11:BS11"/>
    <mergeCell ref="BT11:BV11"/>
    <mergeCell ref="BW11:BY11"/>
    <mergeCell ref="BZ11:CB11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AS12:AS13"/>
    <mergeCell ref="AT12:AT13"/>
    <mergeCell ref="AU12:AU13"/>
    <mergeCell ref="AV12:AV13"/>
    <mergeCell ref="AW12:AW13"/>
    <mergeCell ref="AX12:AX13"/>
    <mergeCell ref="AY12:AY13"/>
    <mergeCell ref="AZ12:AZ13"/>
    <mergeCell ref="BA12:BA13"/>
    <mergeCell ref="BB12:BB13"/>
    <mergeCell ref="BC12:BC13"/>
    <mergeCell ref="BD12:BD13"/>
    <mergeCell ref="BE12:BE13"/>
    <mergeCell ref="BF12:BF13"/>
    <mergeCell ref="BG12:BG13"/>
    <mergeCell ref="BH12:BH13"/>
    <mergeCell ref="BI12:BI13"/>
    <mergeCell ref="BV12:BV13"/>
    <mergeCell ref="BW12:BW13"/>
    <mergeCell ref="BX12:BX13"/>
    <mergeCell ref="BY12:BY13"/>
    <mergeCell ref="BZ12:BZ13"/>
    <mergeCell ref="CA12:CA13"/>
    <mergeCell ref="BJ12:BJ13"/>
    <mergeCell ref="BK12:BK13"/>
    <mergeCell ref="BL12:BL13"/>
    <mergeCell ref="BM12:BM13"/>
    <mergeCell ref="BN12:BN13"/>
    <mergeCell ref="BO12:BO13"/>
    <mergeCell ref="BP12:BP13"/>
    <mergeCell ref="BQ12:BQ13"/>
    <mergeCell ref="BR12:BR13"/>
    <mergeCell ref="CB12:CB13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AV16:AX16"/>
    <mergeCell ref="AY16:BA16"/>
    <mergeCell ref="BB16:BD16"/>
    <mergeCell ref="BE16:BG16"/>
    <mergeCell ref="BH16:BJ16"/>
    <mergeCell ref="BK16:BM16"/>
    <mergeCell ref="BN16:BP16"/>
    <mergeCell ref="BQ16:BS16"/>
    <mergeCell ref="BT16:BV16"/>
    <mergeCell ref="BW16:BY16"/>
    <mergeCell ref="BZ16:CB16"/>
    <mergeCell ref="BS12:BS13"/>
    <mergeCell ref="BT12:BT13"/>
    <mergeCell ref="BU12:BU13"/>
    <mergeCell ref="BB17:BD17"/>
    <mergeCell ref="BE17:BG17"/>
    <mergeCell ref="BH17:BJ17"/>
    <mergeCell ref="BK17:BM17"/>
    <mergeCell ref="BN17:BP17"/>
    <mergeCell ref="BQ17:BS17"/>
    <mergeCell ref="BT17:BV17"/>
    <mergeCell ref="U17:W17"/>
    <mergeCell ref="X17:Z17"/>
    <mergeCell ref="AA17:AC17"/>
    <mergeCell ref="AD17:AF17"/>
    <mergeCell ref="AG17:AI17"/>
    <mergeCell ref="AJ17:AL17"/>
    <mergeCell ref="AM17:AO17"/>
    <mergeCell ref="AP17:AR17"/>
    <mergeCell ref="AS17:AU17"/>
    <mergeCell ref="BW17:BY17"/>
    <mergeCell ref="BZ17:CB17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AY18:BA18"/>
    <mergeCell ref="BB18:BD18"/>
    <mergeCell ref="BE18:BG18"/>
    <mergeCell ref="BH18:BJ18"/>
    <mergeCell ref="BK18:BM18"/>
    <mergeCell ref="BN18:BP18"/>
    <mergeCell ref="BQ18:BS18"/>
    <mergeCell ref="BT18:BV18"/>
    <mergeCell ref="BW18:BY18"/>
    <mergeCell ref="BZ18:CB18"/>
    <mergeCell ref="AV17:AX17"/>
    <mergeCell ref="AY17:BA17"/>
    <mergeCell ref="BB19:BD19"/>
    <mergeCell ref="BE19:BG19"/>
    <mergeCell ref="BH19:BJ19"/>
    <mergeCell ref="BK19:BM19"/>
    <mergeCell ref="BN19:BP19"/>
    <mergeCell ref="BQ19:BS19"/>
    <mergeCell ref="BT19:BV19"/>
    <mergeCell ref="U19:W19"/>
    <mergeCell ref="X19:Z19"/>
    <mergeCell ref="AA19:AC19"/>
    <mergeCell ref="AD19:AF19"/>
    <mergeCell ref="AG19:AI19"/>
    <mergeCell ref="AJ19:AL19"/>
    <mergeCell ref="AM19:AO19"/>
    <mergeCell ref="AP19:AR19"/>
    <mergeCell ref="AS19:AU19"/>
    <mergeCell ref="BW19:BY19"/>
    <mergeCell ref="BZ19:CB19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AY22:BA22"/>
    <mergeCell ref="BB22:BD22"/>
    <mergeCell ref="BE22:BG22"/>
    <mergeCell ref="BH22:BJ22"/>
    <mergeCell ref="BK22:BM22"/>
    <mergeCell ref="BN22:BP22"/>
    <mergeCell ref="BQ22:BS22"/>
    <mergeCell ref="BT22:BV22"/>
    <mergeCell ref="BW22:BY22"/>
    <mergeCell ref="BZ22:CB22"/>
    <mergeCell ref="AV19:AX19"/>
    <mergeCell ref="AY19:BA19"/>
    <mergeCell ref="BB23:BD23"/>
    <mergeCell ref="BE23:BG23"/>
    <mergeCell ref="BH23:BJ23"/>
    <mergeCell ref="BK23:BM23"/>
    <mergeCell ref="BN23:BP23"/>
    <mergeCell ref="BQ23:BS23"/>
    <mergeCell ref="BT23:BV23"/>
    <mergeCell ref="U23:W23"/>
    <mergeCell ref="X23:Z23"/>
    <mergeCell ref="AA23:AC23"/>
    <mergeCell ref="AD23:AF23"/>
    <mergeCell ref="AG23:AI23"/>
    <mergeCell ref="AJ23:AL23"/>
    <mergeCell ref="AM23:AO23"/>
    <mergeCell ref="AP23:AR23"/>
    <mergeCell ref="AS23:AU23"/>
    <mergeCell ref="BW23:BY23"/>
    <mergeCell ref="BZ23:CB23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BE24:BG24"/>
    <mergeCell ref="BH24:BJ24"/>
    <mergeCell ref="BK24:BM24"/>
    <mergeCell ref="BN24:BP24"/>
    <mergeCell ref="BQ24:BS24"/>
    <mergeCell ref="BT24:BV24"/>
    <mergeCell ref="BW24:BY24"/>
    <mergeCell ref="BZ24:CB24"/>
    <mergeCell ref="AV23:AX23"/>
    <mergeCell ref="AY23:BA23"/>
    <mergeCell ref="U25:W25"/>
    <mergeCell ref="X25:Z25"/>
    <mergeCell ref="AA25:AC25"/>
    <mergeCell ref="AD25:AF25"/>
    <mergeCell ref="AG25:AI25"/>
    <mergeCell ref="AJ25:AL25"/>
    <mergeCell ref="AM25:AO25"/>
    <mergeCell ref="AP25:AR25"/>
    <mergeCell ref="AS25:AU25"/>
    <mergeCell ref="AV25:AX25"/>
    <mergeCell ref="AY25:BA25"/>
    <mergeCell ref="BB25:BD25"/>
    <mergeCell ref="BE25:BG25"/>
    <mergeCell ref="BH25:BJ25"/>
    <mergeCell ref="BK25:BM25"/>
    <mergeCell ref="BN25:BP25"/>
    <mergeCell ref="BQ25:BS25"/>
    <mergeCell ref="BT25:BV25"/>
    <mergeCell ref="BW25:BY25"/>
    <mergeCell ref="BZ25:CB25"/>
    <mergeCell ref="U26:U28"/>
    <mergeCell ref="V26:V28"/>
    <mergeCell ref="W26:W28"/>
    <mergeCell ref="X26:X28"/>
    <mergeCell ref="Y26:Y28"/>
    <mergeCell ref="Z26:Z28"/>
    <mergeCell ref="AA26:AA28"/>
    <mergeCell ref="AB26:AB28"/>
    <mergeCell ref="AC26:AC28"/>
    <mergeCell ref="AD26:AD28"/>
    <mergeCell ref="AE26:AE28"/>
    <mergeCell ref="AF26:AF28"/>
    <mergeCell ref="AG26:AG28"/>
    <mergeCell ref="AH26:AH28"/>
    <mergeCell ref="AI26:AI28"/>
    <mergeCell ref="AJ26:AJ28"/>
    <mergeCell ref="AK26:AK28"/>
    <mergeCell ref="AL26:AL28"/>
    <mergeCell ref="AM26:AM28"/>
    <mergeCell ref="AN26:AN28"/>
    <mergeCell ref="AO26:AO28"/>
    <mergeCell ref="AP26:AP28"/>
    <mergeCell ref="AQ26:AQ28"/>
    <mergeCell ref="AR26:AR28"/>
    <mergeCell ref="AS26:AS28"/>
    <mergeCell ref="AT26:AT28"/>
    <mergeCell ref="AU26:AU28"/>
    <mergeCell ref="AV26:AV28"/>
    <mergeCell ref="AW26:AW28"/>
    <mergeCell ref="AX26:AX28"/>
    <mergeCell ref="AY26:AY28"/>
    <mergeCell ref="AZ26:AZ28"/>
    <mergeCell ref="BA26:BA28"/>
    <mergeCell ref="BB26:BB28"/>
    <mergeCell ref="BC26:BC28"/>
    <mergeCell ref="BD26:BD28"/>
    <mergeCell ref="BE26:BE28"/>
    <mergeCell ref="BF26:BF28"/>
    <mergeCell ref="BG26:BG28"/>
    <mergeCell ref="BH26:BH28"/>
    <mergeCell ref="BT26:BT28"/>
    <mergeCell ref="BU26:BU28"/>
    <mergeCell ref="BV26:BV28"/>
    <mergeCell ref="BW26:BW28"/>
    <mergeCell ref="BX26:BX28"/>
    <mergeCell ref="BY26:BY28"/>
    <mergeCell ref="BZ26:BZ28"/>
    <mergeCell ref="BI26:BI28"/>
    <mergeCell ref="BJ26:BJ28"/>
    <mergeCell ref="BK26:BK28"/>
    <mergeCell ref="BL26:BL28"/>
    <mergeCell ref="BM26:BM28"/>
    <mergeCell ref="BN26:BN28"/>
    <mergeCell ref="BO26:BO28"/>
    <mergeCell ref="BP26:BP28"/>
    <mergeCell ref="BQ26:BQ28"/>
    <mergeCell ref="CA26:CA28"/>
    <mergeCell ref="CB26:CB28"/>
    <mergeCell ref="U29:W31"/>
    <mergeCell ref="X29:Z31"/>
    <mergeCell ref="AA29:AC31"/>
    <mergeCell ref="AD29:AF31"/>
    <mergeCell ref="AG29:AI31"/>
    <mergeCell ref="AJ29:AL31"/>
    <mergeCell ref="AM29:AO31"/>
    <mergeCell ref="AP29:AR31"/>
    <mergeCell ref="AS29:AU31"/>
    <mergeCell ref="AV29:AX31"/>
    <mergeCell ref="AY29:BA31"/>
    <mergeCell ref="BB29:BD31"/>
    <mergeCell ref="BE29:BG31"/>
    <mergeCell ref="BH29:BJ31"/>
    <mergeCell ref="BK29:BM31"/>
    <mergeCell ref="BN29:BP31"/>
    <mergeCell ref="BQ29:BS31"/>
    <mergeCell ref="BT29:BV31"/>
    <mergeCell ref="BW29:BY31"/>
    <mergeCell ref="BZ29:CB31"/>
    <mergeCell ref="BR26:BR28"/>
    <mergeCell ref="BS26:BS28"/>
    <mergeCell ref="U32:U34"/>
    <mergeCell ref="V32:V34"/>
    <mergeCell ref="W32:W34"/>
    <mergeCell ref="X32:X34"/>
    <mergeCell ref="Y32:Y34"/>
    <mergeCell ref="Z32:Z34"/>
    <mergeCell ref="AA32:AA34"/>
    <mergeCell ref="AB32:AB34"/>
    <mergeCell ref="AC32:AC34"/>
    <mergeCell ref="AD32:AD34"/>
    <mergeCell ref="AE32:AE34"/>
    <mergeCell ref="AF32:AF34"/>
    <mergeCell ref="AG32:AG34"/>
    <mergeCell ref="AH32:AH34"/>
    <mergeCell ref="AI32:AI34"/>
    <mergeCell ref="AJ32:AJ34"/>
    <mergeCell ref="AK32:AK34"/>
    <mergeCell ref="AL32:AL34"/>
    <mergeCell ref="AM32:AM34"/>
    <mergeCell ref="AN32:AN34"/>
    <mergeCell ref="AO32:AO34"/>
    <mergeCell ref="AP32:AP34"/>
    <mergeCell ref="AQ32:AQ34"/>
    <mergeCell ref="AR32:AR34"/>
    <mergeCell ref="AS32:AS34"/>
    <mergeCell ref="AT32:AT34"/>
    <mergeCell ref="AU32:AU34"/>
    <mergeCell ref="AV32:AV34"/>
    <mergeCell ref="AW32:AW34"/>
    <mergeCell ref="AX32:AX34"/>
    <mergeCell ref="AY32:AY34"/>
    <mergeCell ref="AZ32:AZ34"/>
    <mergeCell ref="BA32:BA34"/>
    <mergeCell ref="BB32:BB34"/>
    <mergeCell ref="BC32:BC34"/>
    <mergeCell ref="BD32:BD34"/>
    <mergeCell ref="BE32:BE34"/>
    <mergeCell ref="BF32:BF34"/>
    <mergeCell ref="BG32:BG34"/>
    <mergeCell ref="BH32:BH34"/>
    <mergeCell ref="BI32:BI34"/>
    <mergeCell ref="BJ32:BJ34"/>
    <mergeCell ref="BK32:BK34"/>
    <mergeCell ref="BL32:BL34"/>
    <mergeCell ref="BM32:BM34"/>
    <mergeCell ref="BN32:BN34"/>
    <mergeCell ref="BO32:BO34"/>
    <mergeCell ref="BP32:BP34"/>
    <mergeCell ref="BQ32:BQ34"/>
    <mergeCell ref="BR32:BR34"/>
    <mergeCell ref="BS32:BS34"/>
    <mergeCell ref="BT32:BT34"/>
    <mergeCell ref="BU32:BU34"/>
    <mergeCell ref="BV32:BV34"/>
    <mergeCell ref="BW32:BW34"/>
    <mergeCell ref="BX32:BX34"/>
    <mergeCell ref="BY32:BY34"/>
    <mergeCell ref="BZ32:BZ34"/>
    <mergeCell ref="CA32:CA34"/>
    <mergeCell ref="CB32:CB34"/>
    <mergeCell ref="U35:W37"/>
    <mergeCell ref="X35:Z37"/>
    <mergeCell ref="AA35:AC37"/>
    <mergeCell ref="AD35:AF37"/>
    <mergeCell ref="AG35:AI37"/>
    <mergeCell ref="AJ35:AL37"/>
    <mergeCell ref="AM35:AO37"/>
    <mergeCell ref="AP35:AR37"/>
    <mergeCell ref="AS35:AU37"/>
    <mergeCell ref="AV35:AX37"/>
    <mergeCell ref="AY35:BA37"/>
    <mergeCell ref="BB35:BD37"/>
    <mergeCell ref="BE35:BG37"/>
    <mergeCell ref="BH35:BJ37"/>
    <mergeCell ref="BK35:BM37"/>
    <mergeCell ref="BN35:BP37"/>
    <mergeCell ref="BQ35:BS37"/>
    <mergeCell ref="BT35:BV37"/>
    <mergeCell ref="BW35:BY37"/>
    <mergeCell ref="BZ35:CB37"/>
    <mergeCell ref="U45:W45"/>
    <mergeCell ref="X45:Z45"/>
    <mergeCell ref="AA45:AC45"/>
    <mergeCell ref="AD45:AF45"/>
    <mergeCell ref="AG45:AI45"/>
    <mergeCell ref="AJ45:AL45"/>
    <mergeCell ref="AM45:AO45"/>
    <mergeCell ref="AP45:AR45"/>
    <mergeCell ref="AS45:AU45"/>
    <mergeCell ref="AV45:AX45"/>
    <mergeCell ref="AY45:BA45"/>
    <mergeCell ref="BB45:BD45"/>
    <mergeCell ref="BE45:BG45"/>
    <mergeCell ref="BH45:BJ45"/>
    <mergeCell ref="BK45:BM45"/>
    <mergeCell ref="BN45:BP45"/>
    <mergeCell ref="BQ45:BS45"/>
    <mergeCell ref="BT45:BV45"/>
    <mergeCell ref="BW45:BY45"/>
    <mergeCell ref="BZ45:CB45"/>
    <mergeCell ref="U46:U47"/>
    <mergeCell ref="V46:V47"/>
    <mergeCell ref="W46:W47"/>
    <mergeCell ref="X46:X47"/>
    <mergeCell ref="Y46:Y47"/>
    <mergeCell ref="Z46:Z47"/>
    <mergeCell ref="AA46:AA47"/>
    <mergeCell ref="AB46:AB47"/>
    <mergeCell ref="AC46:AC47"/>
    <mergeCell ref="AD46:AD47"/>
    <mergeCell ref="AE46:AE47"/>
    <mergeCell ref="AF46:AF47"/>
    <mergeCell ref="AG46:AG47"/>
    <mergeCell ref="AH46:AH47"/>
    <mergeCell ref="AI46:AI47"/>
    <mergeCell ref="AJ46:AJ47"/>
    <mergeCell ref="AK46:AK47"/>
    <mergeCell ref="AL46:AL47"/>
    <mergeCell ref="AM46:AM47"/>
    <mergeCell ref="AN46:AN47"/>
    <mergeCell ref="AO46:AO47"/>
    <mergeCell ref="AP46:AP47"/>
    <mergeCell ref="AQ46:AQ47"/>
    <mergeCell ref="AR46:AR47"/>
    <mergeCell ref="AS46:AS47"/>
    <mergeCell ref="AT46:AT47"/>
    <mergeCell ref="AU46:AU47"/>
    <mergeCell ref="AV46:AV47"/>
    <mergeCell ref="AW46:AW47"/>
    <mergeCell ref="AX46:AX47"/>
    <mergeCell ref="AY46:AY47"/>
    <mergeCell ref="AZ46:AZ47"/>
    <mergeCell ref="BA46:BA47"/>
    <mergeCell ref="BB46:BB47"/>
    <mergeCell ref="BC46:BC47"/>
    <mergeCell ref="BD46:BD47"/>
    <mergeCell ref="BE46:BE47"/>
    <mergeCell ref="BF46:BF47"/>
    <mergeCell ref="BG46:BG47"/>
    <mergeCell ref="BH46:BH47"/>
    <mergeCell ref="BI46:BI47"/>
    <mergeCell ref="BJ46:BJ47"/>
    <mergeCell ref="BK46:BK47"/>
    <mergeCell ref="BL46:BL47"/>
    <mergeCell ref="BM46:BM47"/>
    <mergeCell ref="BW46:BW47"/>
    <mergeCell ref="BX46:BX47"/>
    <mergeCell ref="BY46:BY47"/>
    <mergeCell ref="BZ46:BZ47"/>
    <mergeCell ref="CA46:CA47"/>
    <mergeCell ref="CB46:CB47"/>
    <mergeCell ref="BN46:BN47"/>
    <mergeCell ref="BO46:BO47"/>
    <mergeCell ref="BP46:BP47"/>
    <mergeCell ref="BQ46:BQ47"/>
    <mergeCell ref="BR46:BR47"/>
    <mergeCell ref="BS46:BS47"/>
    <mergeCell ref="BT46:BT47"/>
    <mergeCell ref="BU46:BU47"/>
    <mergeCell ref="BV46:BV47"/>
  </mergeCells>
  <pageMargins left="0.59055118110236227" right="0.19685039370078741" top="0.59055118110236227" bottom="0.19685039370078741" header="0.51181102362204722" footer="0.51181102362204722"/>
  <pageSetup paperSize="9" scale="5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35"/>
  <sheetViews>
    <sheetView view="pageBreakPreview" zoomScale="70" zoomScaleNormal="100" zoomScaleSheetLayoutView="70" workbookViewId="0">
      <selection activeCell="N43" sqref="N43"/>
    </sheetView>
  </sheetViews>
  <sheetFormatPr defaultRowHeight="15" x14ac:dyDescent="0.25"/>
  <cols>
    <col min="1" max="2" width="3.28515625" customWidth="1"/>
    <col min="3" max="3" width="7.42578125" customWidth="1"/>
    <col min="4" max="4" width="21.140625" customWidth="1"/>
    <col min="5" max="8" width="5.85546875" customWidth="1"/>
    <col min="9" max="13" width="7.42578125" customWidth="1"/>
    <col min="14" max="14" width="9" customWidth="1"/>
    <col min="15" max="80" width="7.42578125" customWidth="1"/>
    <col min="257" max="258" width="3.28515625" customWidth="1"/>
    <col min="259" max="259" width="7.42578125" customWidth="1"/>
    <col min="260" max="260" width="21.140625" customWidth="1"/>
    <col min="261" max="264" width="5.85546875" customWidth="1"/>
    <col min="265" max="269" width="7.42578125" customWidth="1"/>
    <col min="270" max="270" width="9" customWidth="1"/>
    <col min="271" max="336" width="7.42578125" customWidth="1"/>
    <col min="513" max="514" width="3.28515625" customWidth="1"/>
    <col min="515" max="515" width="7.42578125" customWidth="1"/>
    <col min="516" max="516" width="21.140625" customWidth="1"/>
    <col min="517" max="520" width="5.85546875" customWidth="1"/>
    <col min="521" max="525" width="7.42578125" customWidth="1"/>
    <col min="526" max="526" width="9" customWidth="1"/>
    <col min="527" max="592" width="7.42578125" customWidth="1"/>
    <col min="769" max="770" width="3.28515625" customWidth="1"/>
    <col min="771" max="771" width="7.42578125" customWidth="1"/>
    <col min="772" max="772" width="21.140625" customWidth="1"/>
    <col min="773" max="776" width="5.85546875" customWidth="1"/>
    <col min="777" max="781" width="7.42578125" customWidth="1"/>
    <col min="782" max="782" width="9" customWidth="1"/>
    <col min="783" max="848" width="7.42578125" customWidth="1"/>
    <col min="1025" max="1026" width="3.28515625" customWidth="1"/>
    <col min="1027" max="1027" width="7.42578125" customWidth="1"/>
    <col min="1028" max="1028" width="21.140625" customWidth="1"/>
    <col min="1029" max="1032" width="5.85546875" customWidth="1"/>
    <col min="1033" max="1037" width="7.42578125" customWidth="1"/>
    <col min="1038" max="1038" width="9" customWidth="1"/>
    <col min="1039" max="1104" width="7.42578125" customWidth="1"/>
    <col min="1281" max="1282" width="3.28515625" customWidth="1"/>
    <col min="1283" max="1283" width="7.42578125" customWidth="1"/>
    <col min="1284" max="1284" width="21.140625" customWidth="1"/>
    <col min="1285" max="1288" width="5.85546875" customWidth="1"/>
    <col min="1289" max="1293" width="7.42578125" customWidth="1"/>
    <col min="1294" max="1294" width="9" customWidth="1"/>
    <col min="1295" max="1360" width="7.42578125" customWidth="1"/>
    <col min="1537" max="1538" width="3.28515625" customWidth="1"/>
    <col min="1539" max="1539" width="7.42578125" customWidth="1"/>
    <col min="1540" max="1540" width="21.140625" customWidth="1"/>
    <col min="1541" max="1544" width="5.85546875" customWidth="1"/>
    <col min="1545" max="1549" width="7.42578125" customWidth="1"/>
    <col min="1550" max="1550" width="9" customWidth="1"/>
    <col min="1551" max="1616" width="7.42578125" customWidth="1"/>
    <col min="1793" max="1794" width="3.28515625" customWidth="1"/>
    <col min="1795" max="1795" width="7.42578125" customWidth="1"/>
    <col min="1796" max="1796" width="21.140625" customWidth="1"/>
    <col min="1797" max="1800" width="5.85546875" customWidth="1"/>
    <col min="1801" max="1805" width="7.42578125" customWidth="1"/>
    <col min="1806" max="1806" width="9" customWidth="1"/>
    <col min="1807" max="1872" width="7.42578125" customWidth="1"/>
    <col min="2049" max="2050" width="3.28515625" customWidth="1"/>
    <col min="2051" max="2051" width="7.42578125" customWidth="1"/>
    <col min="2052" max="2052" width="21.140625" customWidth="1"/>
    <col min="2053" max="2056" width="5.85546875" customWidth="1"/>
    <col min="2057" max="2061" width="7.42578125" customWidth="1"/>
    <col min="2062" max="2062" width="9" customWidth="1"/>
    <col min="2063" max="2128" width="7.42578125" customWidth="1"/>
    <col min="2305" max="2306" width="3.28515625" customWidth="1"/>
    <col min="2307" max="2307" width="7.42578125" customWidth="1"/>
    <col min="2308" max="2308" width="21.140625" customWidth="1"/>
    <col min="2309" max="2312" width="5.85546875" customWidth="1"/>
    <col min="2313" max="2317" width="7.42578125" customWidth="1"/>
    <col min="2318" max="2318" width="9" customWidth="1"/>
    <col min="2319" max="2384" width="7.42578125" customWidth="1"/>
    <col min="2561" max="2562" width="3.28515625" customWidth="1"/>
    <col min="2563" max="2563" width="7.42578125" customWidth="1"/>
    <col min="2564" max="2564" width="21.140625" customWidth="1"/>
    <col min="2565" max="2568" width="5.85546875" customWidth="1"/>
    <col min="2569" max="2573" width="7.42578125" customWidth="1"/>
    <col min="2574" max="2574" width="9" customWidth="1"/>
    <col min="2575" max="2640" width="7.42578125" customWidth="1"/>
    <col min="2817" max="2818" width="3.28515625" customWidth="1"/>
    <col min="2819" max="2819" width="7.42578125" customWidth="1"/>
    <col min="2820" max="2820" width="21.140625" customWidth="1"/>
    <col min="2821" max="2824" width="5.85546875" customWidth="1"/>
    <col min="2825" max="2829" width="7.42578125" customWidth="1"/>
    <col min="2830" max="2830" width="9" customWidth="1"/>
    <col min="2831" max="2896" width="7.42578125" customWidth="1"/>
    <col min="3073" max="3074" width="3.28515625" customWidth="1"/>
    <col min="3075" max="3075" width="7.42578125" customWidth="1"/>
    <col min="3076" max="3076" width="21.140625" customWidth="1"/>
    <col min="3077" max="3080" width="5.85546875" customWidth="1"/>
    <col min="3081" max="3085" width="7.42578125" customWidth="1"/>
    <col min="3086" max="3086" width="9" customWidth="1"/>
    <col min="3087" max="3152" width="7.42578125" customWidth="1"/>
    <col min="3329" max="3330" width="3.28515625" customWidth="1"/>
    <col min="3331" max="3331" width="7.42578125" customWidth="1"/>
    <col min="3332" max="3332" width="21.140625" customWidth="1"/>
    <col min="3333" max="3336" width="5.85546875" customWidth="1"/>
    <col min="3337" max="3341" width="7.42578125" customWidth="1"/>
    <col min="3342" max="3342" width="9" customWidth="1"/>
    <col min="3343" max="3408" width="7.42578125" customWidth="1"/>
    <col min="3585" max="3586" width="3.28515625" customWidth="1"/>
    <col min="3587" max="3587" width="7.42578125" customWidth="1"/>
    <col min="3588" max="3588" width="21.140625" customWidth="1"/>
    <col min="3589" max="3592" width="5.85546875" customWidth="1"/>
    <col min="3593" max="3597" width="7.42578125" customWidth="1"/>
    <col min="3598" max="3598" width="9" customWidth="1"/>
    <col min="3599" max="3664" width="7.42578125" customWidth="1"/>
    <col min="3841" max="3842" width="3.28515625" customWidth="1"/>
    <col min="3843" max="3843" width="7.42578125" customWidth="1"/>
    <col min="3844" max="3844" width="21.140625" customWidth="1"/>
    <col min="3845" max="3848" width="5.85546875" customWidth="1"/>
    <col min="3849" max="3853" width="7.42578125" customWidth="1"/>
    <col min="3854" max="3854" width="9" customWidth="1"/>
    <col min="3855" max="3920" width="7.42578125" customWidth="1"/>
    <col min="4097" max="4098" width="3.28515625" customWidth="1"/>
    <col min="4099" max="4099" width="7.42578125" customWidth="1"/>
    <col min="4100" max="4100" width="21.140625" customWidth="1"/>
    <col min="4101" max="4104" width="5.85546875" customWidth="1"/>
    <col min="4105" max="4109" width="7.42578125" customWidth="1"/>
    <col min="4110" max="4110" width="9" customWidth="1"/>
    <col min="4111" max="4176" width="7.42578125" customWidth="1"/>
    <col min="4353" max="4354" width="3.28515625" customWidth="1"/>
    <col min="4355" max="4355" width="7.42578125" customWidth="1"/>
    <col min="4356" max="4356" width="21.140625" customWidth="1"/>
    <col min="4357" max="4360" width="5.85546875" customWidth="1"/>
    <col min="4361" max="4365" width="7.42578125" customWidth="1"/>
    <col min="4366" max="4366" width="9" customWidth="1"/>
    <col min="4367" max="4432" width="7.42578125" customWidth="1"/>
    <col min="4609" max="4610" width="3.28515625" customWidth="1"/>
    <col min="4611" max="4611" width="7.42578125" customWidth="1"/>
    <col min="4612" max="4612" width="21.140625" customWidth="1"/>
    <col min="4613" max="4616" width="5.85546875" customWidth="1"/>
    <col min="4617" max="4621" width="7.42578125" customWidth="1"/>
    <col min="4622" max="4622" width="9" customWidth="1"/>
    <col min="4623" max="4688" width="7.42578125" customWidth="1"/>
    <col min="4865" max="4866" width="3.28515625" customWidth="1"/>
    <col min="4867" max="4867" width="7.42578125" customWidth="1"/>
    <col min="4868" max="4868" width="21.140625" customWidth="1"/>
    <col min="4869" max="4872" width="5.85546875" customWidth="1"/>
    <col min="4873" max="4877" width="7.42578125" customWidth="1"/>
    <col min="4878" max="4878" width="9" customWidth="1"/>
    <col min="4879" max="4944" width="7.42578125" customWidth="1"/>
    <col min="5121" max="5122" width="3.28515625" customWidth="1"/>
    <col min="5123" max="5123" width="7.42578125" customWidth="1"/>
    <col min="5124" max="5124" width="21.140625" customWidth="1"/>
    <col min="5125" max="5128" width="5.85546875" customWidth="1"/>
    <col min="5129" max="5133" width="7.42578125" customWidth="1"/>
    <col min="5134" max="5134" width="9" customWidth="1"/>
    <col min="5135" max="5200" width="7.42578125" customWidth="1"/>
    <col min="5377" max="5378" width="3.28515625" customWidth="1"/>
    <col min="5379" max="5379" width="7.42578125" customWidth="1"/>
    <col min="5380" max="5380" width="21.140625" customWidth="1"/>
    <col min="5381" max="5384" width="5.85546875" customWidth="1"/>
    <col min="5385" max="5389" width="7.42578125" customWidth="1"/>
    <col min="5390" max="5390" width="9" customWidth="1"/>
    <col min="5391" max="5456" width="7.42578125" customWidth="1"/>
    <col min="5633" max="5634" width="3.28515625" customWidth="1"/>
    <col min="5635" max="5635" width="7.42578125" customWidth="1"/>
    <col min="5636" max="5636" width="21.140625" customWidth="1"/>
    <col min="5637" max="5640" width="5.85546875" customWidth="1"/>
    <col min="5641" max="5645" width="7.42578125" customWidth="1"/>
    <col min="5646" max="5646" width="9" customWidth="1"/>
    <col min="5647" max="5712" width="7.42578125" customWidth="1"/>
    <col min="5889" max="5890" width="3.28515625" customWidth="1"/>
    <col min="5891" max="5891" width="7.42578125" customWidth="1"/>
    <col min="5892" max="5892" width="21.140625" customWidth="1"/>
    <col min="5893" max="5896" width="5.85546875" customWidth="1"/>
    <col min="5897" max="5901" width="7.42578125" customWidth="1"/>
    <col min="5902" max="5902" width="9" customWidth="1"/>
    <col min="5903" max="5968" width="7.42578125" customWidth="1"/>
    <col min="6145" max="6146" width="3.28515625" customWidth="1"/>
    <col min="6147" max="6147" width="7.42578125" customWidth="1"/>
    <col min="6148" max="6148" width="21.140625" customWidth="1"/>
    <col min="6149" max="6152" width="5.85546875" customWidth="1"/>
    <col min="6153" max="6157" width="7.42578125" customWidth="1"/>
    <col min="6158" max="6158" width="9" customWidth="1"/>
    <col min="6159" max="6224" width="7.42578125" customWidth="1"/>
    <col min="6401" max="6402" width="3.28515625" customWidth="1"/>
    <col min="6403" max="6403" width="7.42578125" customWidth="1"/>
    <col min="6404" max="6404" width="21.140625" customWidth="1"/>
    <col min="6405" max="6408" width="5.85546875" customWidth="1"/>
    <col min="6409" max="6413" width="7.42578125" customWidth="1"/>
    <col min="6414" max="6414" width="9" customWidth="1"/>
    <col min="6415" max="6480" width="7.42578125" customWidth="1"/>
    <col min="6657" max="6658" width="3.28515625" customWidth="1"/>
    <col min="6659" max="6659" width="7.42578125" customWidth="1"/>
    <col min="6660" max="6660" width="21.140625" customWidth="1"/>
    <col min="6661" max="6664" width="5.85546875" customWidth="1"/>
    <col min="6665" max="6669" width="7.42578125" customWidth="1"/>
    <col min="6670" max="6670" width="9" customWidth="1"/>
    <col min="6671" max="6736" width="7.42578125" customWidth="1"/>
    <col min="6913" max="6914" width="3.28515625" customWidth="1"/>
    <col min="6915" max="6915" width="7.42578125" customWidth="1"/>
    <col min="6916" max="6916" width="21.140625" customWidth="1"/>
    <col min="6917" max="6920" width="5.85546875" customWidth="1"/>
    <col min="6921" max="6925" width="7.42578125" customWidth="1"/>
    <col min="6926" max="6926" width="9" customWidth="1"/>
    <col min="6927" max="6992" width="7.42578125" customWidth="1"/>
    <col min="7169" max="7170" width="3.28515625" customWidth="1"/>
    <col min="7171" max="7171" width="7.42578125" customWidth="1"/>
    <col min="7172" max="7172" width="21.140625" customWidth="1"/>
    <col min="7173" max="7176" width="5.85546875" customWidth="1"/>
    <col min="7177" max="7181" width="7.42578125" customWidth="1"/>
    <col min="7182" max="7182" width="9" customWidth="1"/>
    <col min="7183" max="7248" width="7.42578125" customWidth="1"/>
    <col min="7425" max="7426" width="3.28515625" customWidth="1"/>
    <col min="7427" max="7427" width="7.42578125" customWidth="1"/>
    <col min="7428" max="7428" width="21.140625" customWidth="1"/>
    <col min="7429" max="7432" width="5.85546875" customWidth="1"/>
    <col min="7433" max="7437" width="7.42578125" customWidth="1"/>
    <col min="7438" max="7438" width="9" customWidth="1"/>
    <col min="7439" max="7504" width="7.42578125" customWidth="1"/>
    <col min="7681" max="7682" width="3.28515625" customWidth="1"/>
    <col min="7683" max="7683" width="7.42578125" customWidth="1"/>
    <col min="7684" max="7684" width="21.140625" customWidth="1"/>
    <col min="7685" max="7688" width="5.85546875" customWidth="1"/>
    <col min="7689" max="7693" width="7.42578125" customWidth="1"/>
    <col min="7694" max="7694" width="9" customWidth="1"/>
    <col min="7695" max="7760" width="7.42578125" customWidth="1"/>
    <col min="7937" max="7938" width="3.28515625" customWidth="1"/>
    <col min="7939" max="7939" width="7.42578125" customWidth="1"/>
    <col min="7940" max="7940" width="21.140625" customWidth="1"/>
    <col min="7941" max="7944" width="5.85546875" customWidth="1"/>
    <col min="7945" max="7949" width="7.42578125" customWidth="1"/>
    <col min="7950" max="7950" width="9" customWidth="1"/>
    <col min="7951" max="8016" width="7.42578125" customWidth="1"/>
    <col min="8193" max="8194" width="3.28515625" customWidth="1"/>
    <col min="8195" max="8195" width="7.42578125" customWidth="1"/>
    <col min="8196" max="8196" width="21.140625" customWidth="1"/>
    <col min="8197" max="8200" width="5.85546875" customWidth="1"/>
    <col min="8201" max="8205" width="7.42578125" customWidth="1"/>
    <col min="8206" max="8206" width="9" customWidth="1"/>
    <col min="8207" max="8272" width="7.42578125" customWidth="1"/>
    <col min="8449" max="8450" width="3.28515625" customWidth="1"/>
    <col min="8451" max="8451" width="7.42578125" customWidth="1"/>
    <col min="8452" max="8452" width="21.140625" customWidth="1"/>
    <col min="8453" max="8456" width="5.85546875" customWidth="1"/>
    <col min="8457" max="8461" width="7.42578125" customWidth="1"/>
    <col min="8462" max="8462" width="9" customWidth="1"/>
    <col min="8463" max="8528" width="7.42578125" customWidth="1"/>
    <col min="8705" max="8706" width="3.28515625" customWidth="1"/>
    <col min="8707" max="8707" width="7.42578125" customWidth="1"/>
    <col min="8708" max="8708" width="21.140625" customWidth="1"/>
    <col min="8709" max="8712" width="5.85546875" customWidth="1"/>
    <col min="8713" max="8717" width="7.42578125" customWidth="1"/>
    <col min="8718" max="8718" width="9" customWidth="1"/>
    <col min="8719" max="8784" width="7.42578125" customWidth="1"/>
    <col min="8961" max="8962" width="3.28515625" customWidth="1"/>
    <col min="8963" max="8963" width="7.42578125" customWidth="1"/>
    <col min="8964" max="8964" width="21.140625" customWidth="1"/>
    <col min="8965" max="8968" width="5.85546875" customWidth="1"/>
    <col min="8969" max="8973" width="7.42578125" customWidth="1"/>
    <col min="8974" max="8974" width="9" customWidth="1"/>
    <col min="8975" max="9040" width="7.42578125" customWidth="1"/>
    <col min="9217" max="9218" width="3.28515625" customWidth="1"/>
    <col min="9219" max="9219" width="7.42578125" customWidth="1"/>
    <col min="9220" max="9220" width="21.140625" customWidth="1"/>
    <col min="9221" max="9224" width="5.85546875" customWidth="1"/>
    <col min="9225" max="9229" width="7.42578125" customWidth="1"/>
    <col min="9230" max="9230" width="9" customWidth="1"/>
    <col min="9231" max="9296" width="7.42578125" customWidth="1"/>
    <col min="9473" max="9474" width="3.28515625" customWidth="1"/>
    <col min="9475" max="9475" width="7.42578125" customWidth="1"/>
    <col min="9476" max="9476" width="21.140625" customWidth="1"/>
    <col min="9477" max="9480" width="5.85546875" customWidth="1"/>
    <col min="9481" max="9485" width="7.42578125" customWidth="1"/>
    <col min="9486" max="9486" width="9" customWidth="1"/>
    <col min="9487" max="9552" width="7.42578125" customWidth="1"/>
    <col min="9729" max="9730" width="3.28515625" customWidth="1"/>
    <col min="9731" max="9731" width="7.42578125" customWidth="1"/>
    <col min="9732" max="9732" width="21.140625" customWidth="1"/>
    <col min="9733" max="9736" width="5.85546875" customWidth="1"/>
    <col min="9737" max="9741" width="7.42578125" customWidth="1"/>
    <col min="9742" max="9742" width="9" customWidth="1"/>
    <col min="9743" max="9808" width="7.42578125" customWidth="1"/>
    <col min="9985" max="9986" width="3.28515625" customWidth="1"/>
    <col min="9987" max="9987" width="7.42578125" customWidth="1"/>
    <col min="9988" max="9988" width="21.140625" customWidth="1"/>
    <col min="9989" max="9992" width="5.85546875" customWidth="1"/>
    <col min="9993" max="9997" width="7.42578125" customWidth="1"/>
    <col min="9998" max="9998" width="9" customWidth="1"/>
    <col min="9999" max="10064" width="7.42578125" customWidth="1"/>
    <col min="10241" max="10242" width="3.28515625" customWidth="1"/>
    <col min="10243" max="10243" width="7.42578125" customWidth="1"/>
    <col min="10244" max="10244" width="21.140625" customWidth="1"/>
    <col min="10245" max="10248" width="5.85546875" customWidth="1"/>
    <col min="10249" max="10253" width="7.42578125" customWidth="1"/>
    <col min="10254" max="10254" width="9" customWidth="1"/>
    <col min="10255" max="10320" width="7.42578125" customWidth="1"/>
    <col min="10497" max="10498" width="3.28515625" customWidth="1"/>
    <col min="10499" max="10499" width="7.42578125" customWidth="1"/>
    <col min="10500" max="10500" width="21.140625" customWidth="1"/>
    <col min="10501" max="10504" width="5.85546875" customWidth="1"/>
    <col min="10505" max="10509" width="7.42578125" customWidth="1"/>
    <col min="10510" max="10510" width="9" customWidth="1"/>
    <col min="10511" max="10576" width="7.42578125" customWidth="1"/>
    <col min="10753" max="10754" width="3.28515625" customWidth="1"/>
    <col min="10755" max="10755" width="7.42578125" customWidth="1"/>
    <col min="10756" max="10756" width="21.140625" customWidth="1"/>
    <col min="10757" max="10760" width="5.85546875" customWidth="1"/>
    <col min="10761" max="10765" width="7.42578125" customWidth="1"/>
    <col min="10766" max="10766" width="9" customWidth="1"/>
    <col min="10767" max="10832" width="7.42578125" customWidth="1"/>
    <col min="11009" max="11010" width="3.28515625" customWidth="1"/>
    <col min="11011" max="11011" width="7.42578125" customWidth="1"/>
    <col min="11012" max="11012" width="21.140625" customWidth="1"/>
    <col min="11013" max="11016" width="5.85546875" customWidth="1"/>
    <col min="11017" max="11021" width="7.42578125" customWidth="1"/>
    <col min="11022" max="11022" width="9" customWidth="1"/>
    <col min="11023" max="11088" width="7.42578125" customWidth="1"/>
    <col min="11265" max="11266" width="3.28515625" customWidth="1"/>
    <col min="11267" max="11267" width="7.42578125" customWidth="1"/>
    <col min="11268" max="11268" width="21.140625" customWidth="1"/>
    <col min="11269" max="11272" width="5.85546875" customWidth="1"/>
    <col min="11273" max="11277" width="7.42578125" customWidth="1"/>
    <col min="11278" max="11278" width="9" customWidth="1"/>
    <col min="11279" max="11344" width="7.42578125" customWidth="1"/>
    <col min="11521" max="11522" width="3.28515625" customWidth="1"/>
    <col min="11523" max="11523" width="7.42578125" customWidth="1"/>
    <col min="11524" max="11524" width="21.140625" customWidth="1"/>
    <col min="11525" max="11528" width="5.85546875" customWidth="1"/>
    <col min="11529" max="11533" width="7.42578125" customWidth="1"/>
    <col min="11534" max="11534" width="9" customWidth="1"/>
    <col min="11535" max="11600" width="7.42578125" customWidth="1"/>
    <col min="11777" max="11778" width="3.28515625" customWidth="1"/>
    <col min="11779" max="11779" width="7.42578125" customWidth="1"/>
    <col min="11780" max="11780" width="21.140625" customWidth="1"/>
    <col min="11781" max="11784" width="5.85546875" customWidth="1"/>
    <col min="11785" max="11789" width="7.42578125" customWidth="1"/>
    <col min="11790" max="11790" width="9" customWidth="1"/>
    <col min="11791" max="11856" width="7.42578125" customWidth="1"/>
    <col min="12033" max="12034" width="3.28515625" customWidth="1"/>
    <col min="12035" max="12035" width="7.42578125" customWidth="1"/>
    <col min="12036" max="12036" width="21.140625" customWidth="1"/>
    <col min="12037" max="12040" width="5.85546875" customWidth="1"/>
    <col min="12041" max="12045" width="7.42578125" customWidth="1"/>
    <col min="12046" max="12046" width="9" customWidth="1"/>
    <col min="12047" max="12112" width="7.42578125" customWidth="1"/>
    <col min="12289" max="12290" width="3.28515625" customWidth="1"/>
    <col min="12291" max="12291" width="7.42578125" customWidth="1"/>
    <col min="12292" max="12292" width="21.140625" customWidth="1"/>
    <col min="12293" max="12296" width="5.85546875" customWidth="1"/>
    <col min="12297" max="12301" width="7.42578125" customWidth="1"/>
    <col min="12302" max="12302" width="9" customWidth="1"/>
    <col min="12303" max="12368" width="7.42578125" customWidth="1"/>
    <col min="12545" max="12546" width="3.28515625" customWidth="1"/>
    <col min="12547" max="12547" width="7.42578125" customWidth="1"/>
    <col min="12548" max="12548" width="21.140625" customWidth="1"/>
    <col min="12549" max="12552" width="5.85546875" customWidth="1"/>
    <col min="12553" max="12557" width="7.42578125" customWidth="1"/>
    <col min="12558" max="12558" width="9" customWidth="1"/>
    <col min="12559" max="12624" width="7.42578125" customWidth="1"/>
    <col min="12801" max="12802" width="3.28515625" customWidth="1"/>
    <col min="12803" max="12803" width="7.42578125" customWidth="1"/>
    <col min="12804" max="12804" width="21.140625" customWidth="1"/>
    <col min="12805" max="12808" width="5.85546875" customWidth="1"/>
    <col min="12809" max="12813" width="7.42578125" customWidth="1"/>
    <col min="12814" max="12814" width="9" customWidth="1"/>
    <col min="12815" max="12880" width="7.42578125" customWidth="1"/>
    <col min="13057" max="13058" width="3.28515625" customWidth="1"/>
    <col min="13059" max="13059" width="7.42578125" customWidth="1"/>
    <col min="13060" max="13060" width="21.140625" customWidth="1"/>
    <col min="13061" max="13064" width="5.85546875" customWidth="1"/>
    <col min="13065" max="13069" width="7.42578125" customWidth="1"/>
    <col min="13070" max="13070" width="9" customWidth="1"/>
    <col min="13071" max="13136" width="7.42578125" customWidth="1"/>
    <col min="13313" max="13314" width="3.28515625" customWidth="1"/>
    <col min="13315" max="13315" width="7.42578125" customWidth="1"/>
    <col min="13316" max="13316" width="21.140625" customWidth="1"/>
    <col min="13317" max="13320" width="5.85546875" customWidth="1"/>
    <col min="13321" max="13325" width="7.42578125" customWidth="1"/>
    <col min="13326" max="13326" width="9" customWidth="1"/>
    <col min="13327" max="13392" width="7.42578125" customWidth="1"/>
    <col min="13569" max="13570" width="3.28515625" customWidth="1"/>
    <col min="13571" max="13571" width="7.42578125" customWidth="1"/>
    <col min="13572" max="13572" width="21.140625" customWidth="1"/>
    <col min="13573" max="13576" width="5.85546875" customWidth="1"/>
    <col min="13577" max="13581" width="7.42578125" customWidth="1"/>
    <col min="13582" max="13582" width="9" customWidth="1"/>
    <col min="13583" max="13648" width="7.42578125" customWidth="1"/>
    <col min="13825" max="13826" width="3.28515625" customWidth="1"/>
    <col min="13827" max="13827" width="7.42578125" customWidth="1"/>
    <col min="13828" max="13828" width="21.140625" customWidth="1"/>
    <col min="13829" max="13832" width="5.85546875" customWidth="1"/>
    <col min="13833" max="13837" width="7.42578125" customWidth="1"/>
    <col min="13838" max="13838" width="9" customWidth="1"/>
    <col min="13839" max="13904" width="7.42578125" customWidth="1"/>
    <col min="14081" max="14082" width="3.28515625" customWidth="1"/>
    <col min="14083" max="14083" width="7.42578125" customWidth="1"/>
    <col min="14084" max="14084" width="21.140625" customWidth="1"/>
    <col min="14085" max="14088" width="5.85546875" customWidth="1"/>
    <col min="14089" max="14093" width="7.42578125" customWidth="1"/>
    <col min="14094" max="14094" width="9" customWidth="1"/>
    <col min="14095" max="14160" width="7.42578125" customWidth="1"/>
    <col min="14337" max="14338" width="3.28515625" customWidth="1"/>
    <col min="14339" max="14339" width="7.42578125" customWidth="1"/>
    <col min="14340" max="14340" width="21.140625" customWidth="1"/>
    <col min="14341" max="14344" width="5.85546875" customWidth="1"/>
    <col min="14345" max="14349" width="7.42578125" customWidth="1"/>
    <col min="14350" max="14350" width="9" customWidth="1"/>
    <col min="14351" max="14416" width="7.42578125" customWidth="1"/>
    <col min="14593" max="14594" width="3.28515625" customWidth="1"/>
    <col min="14595" max="14595" width="7.42578125" customWidth="1"/>
    <col min="14596" max="14596" width="21.140625" customWidth="1"/>
    <col min="14597" max="14600" width="5.85546875" customWidth="1"/>
    <col min="14601" max="14605" width="7.42578125" customWidth="1"/>
    <col min="14606" max="14606" width="9" customWidth="1"/>
    <col min="14607" max="14672" width="7.42578125" customWidth="1"/>
    <col min="14849" max="14850" width="3.28515625" customWidth="1"/>
    <col min="14851" max="14851" width="7.42578125" customWidth="1"/>
    <col min="14852" max="14852" width="21.140625" customWidth="1"/>
    <col min="14853" max="14856" width="5.85546875" customWidth="1"/>
    <col min="14857" max="14861" width="7.42578125" customWidth="1"/>
    <col min="14862" max="14862" width="9" customWidth="1"/>
    <col min="14863" max="14928" width="7.42578125" customWidth="1"/>
    <col min="15105" max="15106" width="3.28515625" customWidth="1"/>
    <col min="15107" max="15107" width="7.42578125" customWidth="1"/>
    <col min="15108" max="15108" width="21.140625" customWidth="1"/>
    <col min="15109" max="15112" width="5.85546875" customWidth="1"/>
    <col min="15113" max="15117" width="7.42578125" customWidth="1"/>
    <col min="15118" max="15118" width="9" customWidth="1"/>
    <col min="15119" max="15184" width="7.42578125" customWidth="1"/>
    <col min="15361" max="15362" width="3.28515625" customWidth="1"/>
    <col min="15363" max="15363" width="7.42578125" customWidth="1"/>
    <col min="15364" max="15364" width="21.140625" customWidth="1"/>
    <col min="15365" max="15368" width="5.85546875" customWidth="1"/>
    <col min="15369" max="15373" width="7.42578125" customWidth="1"/>
    <col min="15374" max="15374" width="9" customWidth="1"/>
    <col min="15375" max="15440" width="7.42578125" customWidth="1"/>
    <col min="15617" max="15618" width="3.28515625" customWidth="1"/>
    <col min="15619" max="15619" width="7.42578125" customWidth="1"/>
    <col min="15620" max="15620" width="21.140625" customWidth="1"/>
    <col min="15621" max="15624" width="5.85546875" customWidth="1"/>
    <col min="15625" max="15629" width="7.42578125" customWidth="1"/>
    <col min="15630" max="15630" width="9" customWidth="1"/>
    <col min="15631" max="15696" width="7.42578125" customWidth="1"/>
    <col min="15873" max="15874" width="3.28515625" customWidth="1"/>
    <col min="15875" max="15875" width="7.42578125" customWidth="1"/>
    <col min="15876" max="15876" width="21.140625" customWidth="1"/>
    <col min="15877" max="15880" width="5.85546875" customWidth="1"/>
    <col min="15881" max="15885" width="7.42578125" customWidth="1"/>
    <col min="15886" max="15886" width="9" customWidth="1"/>
    <col min="15887" max="15952" width="7.42578125" customWidth="1"/>
    <col min="16129" max="16130" width="3.28515625" customWidth="1"/>
    <col min="16131" max="16131" width="7.42578125" customWidth="1"/>
    <col min="16132" max="16132" width="21.140625" customWidth="1"/>
    <col min="16133" max="16136" width="5.85546875" customWidth="1"/>
    <col min="16137" max="16141" width="7.42578125" customWidth="1"/>
    <col min="16142" max="16142" width="9" customWidth="1"/>
    <col min="16143" max="16208" width="7.42578125" customWidth="1"/>
  </cols>
  <sheetData>
    <row r="1" spans="1:81" x14ac:dyDescent="0.25">
      <c r="A1" s="1135" t="s">
        <v>127</v>
      </c>
      <c r="B1" s="1135"/>
      <c r="C1" s="1135"/>
      <c r="D1" s="1135"/>
      <c r="E1" s="1135"/>
      <c r="F1" s="1135"/>
      <c r="G1" s="1135"/>
      <c r="H1" s="1135"/>
      <c r="I1" s="1135"/>
      <c r="J1" s="1135"/>
      <c r="K1" s="1135"/>
      <c r="L1" s="1135"/>
      <c r="M1" s="1135"/>
      <c r="N1" s="1135"/>
      <c r="O1" s="1135"/>
      <c r="P1" s="1135"/>
      <c r="Q1" s="1333" t="s">
        <v>128</v>
      </c>
      <c r="R1" s="1333"/>
      <c r="S1" s="1333"/>
      <c r="T1" s="1333"/>
      <c r="U1" s="169"/>
      <c r="AC1" s="1333" t="s">
        <v>128</v>
      </c>
      <c r="AD1" s="1333"/>
      <c r="AE1" s="1333"/>
      <c r="AF1" s="1333"/>
      <c r="AO1" s="1333" t="s">
        <v>128</v>
      </c>
      <c r="AP1" s="1333"/>
      <c r="AQ1" s="1333"/>
      <c r="AR1" s="1333"/>
      <c r="BA1" s="1333" t="s">
        <v>128</v>
      </c>
      <c r="BB1" s="1333"/>
      <c r="BC1" s="1333"/>
      <c r="BD1" s="1333"/>
      <c r="BM1" s="1333" t="s">
        <v>128</v>
      </c>
      <c r="BN1" s="1333"/>
      <c r="BO1" s="1333"/>
      <c r="BP1" s="1333"/>
      <c r="BY1" s="1333" t="s">
        <v>128</v>
      </c>
      <c r="BZ1" s="1333"/>
      <c r="CA1" s="1333"/>
      <c r="CB1" s="1333"/>
    </row>
    <row r="2" spans="1:81" ht="15.75" thickBot="1" x14ac:dyDescent="0.3">
      <c r="A2" s="1137"/>
      <c r="B2" s="1137"/>
      <c r="C2" s="1137"/>
      <c r="D2" s="1137"/>
      <c r="E2" s="1137"/>
      <c r="F2" s="1137"/>
      <c r="G2" s="1137"/>
      <c r="H2" s="1137"/>
      <c r="I2" s="1137"/>
      <c r="J2" s="1137"/>
      <c r="K2" s="1137"/>
      <c r="L2" s="1137"/>
      <c r="M2" s="1137"/>
      <c r="N2" s="1137"/>
      <c r="O2" s="1137"/>
      <c r="P2" s="1137"/>
      <c r="Q2" s="1334" t="s">
        <v>1</v>
      </c>
      <c r="R2" s="1334"/>
      <c r="S2" s="1334"/>
      <c r="T2" s="1334"/>
      <c r="U2" s="169"/>
      <c r="AC2" s="1334" t="s">
        <v>1</v>
      </c>
      <c r="AD2" s="1334"/>
      <c r="AE2" s="1334"/>
      <c r="AF2" s="1334"/>
      <c r="AO2" s="1334" t="s">
        <v>1</v>
      </c>
      <c r="AP2" s="1334"/>
      <c r="AQ2" s="1334"/>
      <c r="AR2" s="1334"/>
      <c r="BA2" s="1334" t="s">
        <v>1</v>
      </c>
      <c r="BB2" s="1334"/>
      <c r="BC2" s="1334"/>
      <c r="BD2" s="1334"/>
      <c r="BM2" s="1334" t="s">
        <v>1</v>
      </c>
      <c r="BN2" s="1334"/>
      <c r="BO2" s="1334"/>
      <c r="BP2" s="1334"/>
      <c r="BY2" s="1334" t="s">
        <v>1</v>
      </c>
      <c r="BZ2" s="1334"/>
      <c r="CA2" s="1334"/>
      <c r="CB2" s="1334"/>
    </row>
    <row r="3" spans="1:81" ht="15.75" thickBot="1" x14ac:dyDescent="0.3">
      <c r="A3" s="1330" t="s">
        <v>2</v>
      </c>
      <c r="B3" s="1331"/>
      <c r="C3" s="1331"/>
      <c r="D3" s="1331"/>
      <c r="E3" s="1331"/>
      <c r="F3" s="1331"/>
      <c r="G3" s="1331"/>
      <c r="H3" s="1332"/>
      <c r="I3" s="1159" t="s">
        <v>3</v>
      </c>
      <c r="J3" s="1160"/>
      <c r="K3" s="1161"/>
      <c r="L3" s="1159" t="s">
        <v>4</v>
      </c>
      <c r="M3" s="1160"/>
      <c r="N3" s="1161"/>
      <c r="O3" s="1159" t="s">
        <v>129</v>
      </c>
      <c r="P3" s="1160"/>
      <c r="Q3" s="1161"/>
      <c r="R3" s="1159" t="s">
        <v>103</v>
      </c>
      <c r="S3" s="1160"/>
      <c r="T3" s="1161"/>
      <c r="U3" s="1159" t="s">
        <v>104</v>
      </c>
      <c r="V3" s="1160"/>
      <c r="W3" s="1161"/>
      <c r="X3" s="1159" t="s">
        <v>105</v>
      </c>
      <c r="Y3" s="1160"/>
      <c r="Z3" s="1161"/>
      <c r="AA3" s="1168" t="s">
        <v>106</v>
      </c>
      <c r="AB3" s="1169"/>
      <c r="AC3" s="1170"/>
      <c r="AD3" s="1159" t="s">
        <v>108</v>
      </c>
      <c r="AE3" s="1160"/>
      <c r="AF3" s="1161"/>
      <c r="AG3" s="1159" t="s">
        <v>107</v>
      </c>
      <c r="AH3" s="1160"/>
      <c r="AI3" s="1161"/>
      <c r="AJ3" s="1168" t="s">
        <v>109</v>
      </c>
      <c r="AK3" s="1169"/>
      <c r="AL3" s="1170"/>
      <c r="AM3" s="1159" t="s">
        <v>110</v>
      </c>
      <c r="AN3" s="1160"/>
      <c r="AO3" s="1161"/>
      <c r="AP3" s="1159" t="s">
        <v>111</v>
      </c>
      <c r="AQ3" s="1160"/>
      <c r="AR3" s="1161"/>
      <c r="AS3" s="1159" t="s">
        <v>112</v>
      </c>
      <c r="AT3" s="1160"/>
      <c r="AU3" s="1161"/>
      <c r="AV3" s="1159" t="s">
        <v>113</v>
      </c>
      <c r="AW3" s="1160"/>
      <c r="AX3" s="1161"/>
      <c r="AY3" s="1159" t="s">
        <v>114</v>
      </c>
      <c r="AZ3" s="1160"/>
      <c r="BA3" s="1161"/>
      <c r="BB3" s="1159" t="s">
        <v>115</v>
      </c>
      <c r="BC3" s="1160"/>
      <c r="BD3" s="1161"/>
      <c r="BE3" s="1159" t="s">
        <v>116</v>
      </c>
      <c r="BF3" s="1160"/>
      <c r="BG3" s="1161"/>
      <c r="BH3" s="1159" t="s">
        <v>117</v>
      </c>
      <c r="BI3" s="1160"/>
      <c r="BJ3" s="1161"/>
      <c r="BK3" s="1159" t="s">
        <v>118</v>
      </c>
      <c r="BL3" s="1160"/>
      <c r="BM3" s="1161"/>
      <c r="BN3" s="1159" t="s">
        <v>119</v>
      </c>
      <c r="BO3" s="1160"/>
      <c r="BP3" s="1161"/>
      <c r="BQ3" s="1159" t="s">
        <v>120</v>
      </c>
      <c r="BR3" s="1160"/>
      <c r="BS3" s="1161"/>
      <c r="BT3" s="1159" t="s">
        <v>121</v>
      </c>
      <c r="BU3" s="1160"/>
      <c r="BV3" s="1161"/>
      <c r="BW3" s="1159" t="s">
        <v>122</v>
      </c>
      <c r="BX3" s="1160"/>
      <c r="BY3" s="1161"/>
      <c r="BZ3" s="1159" t="s">
        <v>5</v>
      </c>
      <c r="CA3" s="1160"/>
      <c r="CB3" s="1161"/>
    </row>
    <row r="4" spans="1:81" ht="12.75" customHeight="1" x14ac:dyDescent="0.25">
      <c r="A4" s="1316" t="s">
        <v>6</v>
      </c>
      <c r="B4" s="1317"/>
      <c r="C4" s="1318"/>
      <c r="D4" s="1322" t="s">
        <v>7</v>
      </c>
      <c r="E4" s="1324" t="s">
        <v>8</v>
      </c>
      <c r="F4" s="1325"/>
      <c r="G4" s="1325"/>
      <c r="H4" s="1326"/>
      <c r="I4" s="1149" t="s">
        <v>9</v>
      </c>
      <c r="J4" s="1147" t="s">
        <v>10</v>
      </c>
      <c r="K4" s="1147" t="s">
        <v>11</v>
      </c>
      <c r="L4" s="1149" t="s">
        <v>9</v>
      </c>
      <c r="M4" s="1147" t="s">
        <v>10</v>
      </c>
      <c r="N4" s="1147" t="s">
        <v>11</v>
      </c>
      <c r="O4" s="1149" t="s">
        <v>9</v>
      </c>
      <c r="P4" s="1147" t="s">
        <v>10</v>
      </c>
      <c r="Q4" s="1147" t="s">
        <v>11</v>
      </c>
      <c r="R4" s="1149" t="s">
        <v>9</v>
      </c>
      <c r="S4" s="1147" t="s">
        <v>10</v>
      </c>
      <c r="T4" s="1151" t="s">
        <v>11</v>
      </c>
      <c r="U4" s="1149" t="s">
        <v>9</v>
      </c>
      <c r="V4" s="1147" t="s">
        <v>10</v>
      </c>
      <c r="W4" s="1147" t="s">
        <v>11</v>
      </c>
      <c r="X4" s="1149" t="s">
        <v>9</v>
      </c>
      <c r="Y4" s="1147" t="s">
        <v>10</v>
      </c>
      <c r="Z4" s="1147" t="s">
        <v>11</v>
      </c>
      <c r="AA4" s="1149" t="s">
        <v>9</v>
      </c>
      <c r="AB4" s="1147" t="s">
        <v>10</v>
      </c>
      <c r="AC4" s="1147" t="s">
        <v>11</v>
      </c>
      <c r="AD4" s="1149" t="s">
        <v>9</v>
      </c>
      <c r="AE4" s="1147" t="s">
        <v>10</v>
      </c>
      <c r="AF4" s="1151" t="s">
        <v>11</v>
      </c>
      <c r="AG4" s="1149" t="s">
        <v>9</v>
      </c>
      <c r="AH4" s="1147" t="s">
        <v>10</v>
      </c>
      <c r="AI4" s="1147" t="s">
        <v>11</v>
      </c>
      <c r="AJ4" s="1157" t="s">
        <v>9</v>
      </c>
      <c r="AK4" s="1155" t="s">
        <v>10</v>
      </c>
      <c r="AL4" s="1155" t="s">
        <v>11</v>
      </c>
      <c r="AM4" s="1149" t="s">
        <v>9</v>
      </c>
      <c r="AN4" s="1147" t="s">
        <v>10</v>
      </c>
      <c r="AO4" s="1147" t="s">
        <v>11</v>
      </c>
      <c r="AP4" s="1149" t="s">
        <v>9</v>
      </c>
      <c r="AQ4" s="1147" t="s">
        <v>10</v>
      </c>
      <c r="AR4" s="1151" t="s">
        <v>11</v>
      </c>
      <c r="AS4" s="1149" t="s">
        <v>9</v>
      </c>
      <c r="AT4" s="1147" t="s">
        <v>10</v>
      </c>
      <c r="AU4" s="1147" t="s">
        <v>11</v>
      </c>
      <c r="AV4" s="1149" t="s">
        <v>9</v>
      </c>
      <c r="AW4" s="1147" t="s">
        <v>10</v>
      </c>
      <c r="AX4" s="1147" t="s">
        <v>11</v>
      </c>
      <c r="AY4" s="1149" t="s">
        <v>9</v>
      </c>
      <c r="AZ4" s="1147" t="s">
        <v>10</v>
      </c>
      <c r="BA4" s="1147" t="s">
        <v>11</v>
      </c>
      <c r="BB4" s="1149" t="s">
        <v>9</v>
      </c>
      <c r="BC4" s="1147" t="s">
        <v>10</v>
      </c>
      <c r="BD4" s="1151" t="s">
        <v>11</v>
      </c>
      <c r="BE4" s="1149" t="s">
        <v>9</v>
      </c>
      <c r="BF4" s="1147" t="s">
        <v>10</v>
      </c>
      <c r="BG4" s="1147" t="s">
        <v>11</v>
      </c>
      <c r="BH4" s="1149" t="s">
        <v>9</v>
      </c>
      <c r="BI4" s="1147" t="s">
        <v>10</v>
      </c>
      <c r="BJ4" s="1147" t="s">
        <v>11</v>
      </c>
      <c r="BK4" s="1149" t="s">
        <v>9</v>
      </c>
      <c r="BL4" s="1147" t="s">
        <v>10</v>
      </c>
      <c r="BM4" s="1147" t="s">
        <v>11</v>
      </c>
      <c r="BN4" s="1149" t="s">
        <v>9</v>
      </c>
      <c r="BO4" s="1147" t="s">
        <v>10</v>
      </c>
      <c r="BP4" s="1151" t="s">
        <v>11</v>
      </c>
      <c r="BQ4" s="1149" t="s">
        <v>9</v>
      </c>
      <c r="BR4" s="1147" t="s">
        <v>10</v>
      </c>
      <c r="BS4" s="1147" t="s">
        <v>11</v>
      </c>
      <c r="BT4" s="1149" t="s">
        <v>9</v>
      </c>
      <c r="BU4" s="1147" t="s">
        <v>10</v>
      </c>
      <c r="BV4" s="1147" t="s">
        <v>11</v>
      </c>
      <c r="BW4" s="1149" t="s">
        <v>9</v>
      </c>
      <c r="BX4" s="1147" t="s">
        <v>10</v>
      </c>
      <c r="BY4" s="1147" t="s">
        <v>11</v>
      </c>
      <c r="BZ4" s="1149" t="s">
        <v>9</v>
      </c>
      <c r="CA4" s="1147" t="s">
        <v>10</v>
      </c>
      <c r="CB4" s="1151" t="s">
        <v>11</v>
      </c>
    </row>
    <row r="5" spans="1:81" ht="13.5" customHeight="1" thickBot="1" x14ac:dyDescent="0.3">
      <c r="A5" s="1319"/>
      <c r="B5" s="1320"/>
      <c r="C5" s="1321"/>
      <c r="D5" s="1323"/>
      <c r="E5" s="1327"/>
      <c r="F5" s="1328"/>
      <c r="G5" s="1328"/>
      <c r="H5" s="1329"/>
      <c r="I5" s="1309"/>
      <c r="J5" s="1308"/>
      <c r="K5" s="1308"/>
      <c r="L5" s="1309"/>
      <c r="M5" s="1308"/>
      <c r="N5" s="1308"/>
      <c r="O5" s="1309"/>
      <c r="P5" s="1308"/>
      <c r="Q5" s="1308"/>
      <c r="R5" s="1309"/>
      <c r="S5" s="1308"/>
      <c r="T5" s="1310"/>
      <c r="U5" s="1309"/>
      <c r="V5" s="1308"/>
      <c r="W5" s="1308"/>
      <c r="X5" s="1309"/>
      <c r="Y5" s="1308"/>
      <c r="Z5" s="1308"/>
      <c r="AA5" s="1309"/>
      <c r="AB5" s="1308"/>
      <c r="AC5" s="1308"/>
      <c r="AD5" s="1309"/>
      <c r="AE5" s="1308"/>
      <c r="AF5" s="1310"/>
      <c r="AG5" s="1309"/>
      <c r="AH5" s="1308"/>
      <c r="AI5" s="1308"/>
      <c r="AJ5" s="1314"/>
      <c r="AK5" s="1315"/>
      <c r="AL5" s="1315"/>
      <c r="AM5" s="1309"/>
      <c r="AN5" s="1308"/>
      <c r="AO5" s="1308"/>
      <c r="AP5" s="1309"/>
      <c r="AQ5" s="1308"/>
      <c r="AR5" s="1310"/>
      <c r="AS5" s="1309"/>
      <c r="AT5" s="1308"/>
      <c r="AU5" s="1308"/>
      <c r="AV5" s="1309"/>
      <c r="AW5" s="1308"/>
      <c r="AX5" s="1308"/>
      <c r="AY5" s="1309"/>
      <c r="AZ5" s="1308"/>
      <c r="BA5" s="1308"/>
      <c r="BB5" s="1309"/>
      <c r="BC5" s="1308"/>
      <c r="BD5" s="1310"/>
      <c r="BE5" s="1309"/>
      <c r="BF5" s="1308"/>
      <c r="BG5" s="1308"/>
      <c r="BH5" s="1309"/>
      <c r="BI5" s="1308"/>
      <c r="BJ5" s="1308"/>
      <c r="BK5" s="1309"/>
      <c r="BL5" s="1308"/>
      <c r="BM5" s="1308"/>
      <c r="BN5" s="1309"/>
      <c r="BO5" s="1308"/>
      <c r="BP5" s="1310"/>
      <c r="BQ5" s="1309"/>
      <c r="BR5" s="1308"/>
      <c r="BS5" s="1308"/>
      <c r="BT5" s="1309"/>
      <c r="BU5" s="1308"/>
      <c r="BV5" s="1308"/>
      <c r="BW5" s="1309"/>
      <c r="BX5" s="1308"/>
      <c r="BY5" s="1308"/>
      <c r="BZ5" s="1309"/>
      <c r="CA5" s="1308"/>
      <c r="CB5" s="1310"/>
    </row>
    <row r="6" spans="1:81" ht="15.75" customHeight="1" x14ac:dyDescent="0.25">
      <c r="A6" s="1204" t="s">
        <v>12</v>
      </c>
      <c r="B6" s="1249"/>
      <c r="C6" s="1205"/>
      <c r="D6" s="1252">
        <v>40</v>
      </c>
      <c r="E6" s="1204" t="s">
        <v>13</v>
      </c>
      <c r="F6" s="1205"/>
      <c r="G6" s="1186" t="s">
        <v>44</v>
      </c>
      <c r="H6" s="1188"/>
      <c r="I6" s="170">
        <v>36</v>
      </c>
      <c r="J6" s="171" t="s">
        <v>130</v>
      </c>
      <c r="K6" s="172" t="s">
        <v>131</v>
      </c>
      <c r="L6" s="170">
        <v>36</v>
      </c>
      <c r="M6" s="171" t="s">
        <v>132</v>
      </c>
      <c r="N6" s="172" t="s">
        <v>133</v>
      </c>
      <c r="O6" s="170">
        <v>36</v>
      </c>
      <c r="P6" s="171" t="s">
        <v>134</v>
      </c>
      <c r="Q6" s="172" t="s">
        <v>135</v>
      </c>
      <c r="R6" s="170">
        <v>36</v>
      </c>
      <c r="S6" s="171" t="s">
        <v>136</v>
      </c>
      <c r="T6" s="172" t="s">
        <v>137</v>
      </c>
      <c r="U6" s="170">
        <v>38</v>
      </c>
      <c r="V6" s="171" t="s">
        <v>138</v>
      </c>
      <c r="W6" s="172" t="s">
        <v>139</v>
      </c>
      <c r="X6" s="170">
        <v>43</v>
      </c>
      <c r="Y6" s="171" t="s">
        <v>140</v>
      </c>
      <c r="Z6" s="172" t="s">
        <v>141</v>
      </c>
      <c r="AA6" s="170">
        <v>48</v>
      </c>
      <c r="AB6" s="171" t="s">
        <v>142</v>
      </c>
      <c r="AC6" s="172" t="s">
        <v>143</v>
      </c>
      <c r="AD6" s="170">
        <v>55</v>
      </c>
      <c r="AE6" s="171" t="s">
        <v>144</v>
      </c>
      <c r="AF6" s="172" t="s">
        <v>145</v>
      </c>
      <c r="AG6" s="170">
        <v>60</v>
      </c>
      <c r="AH6" s="171" t="s">
        <v>146</v>
      </c>
      <c r="AI6" s="172" t="s">
        <v>147</v>
      </c>
      <c r="AJ6" s="173">
        <v>61</v>
      </c>
      <c r="AK6" s="174" t="s">
        <v>148</v>
      </c>
      <c r="AL6" s="175" t="s">
        <v>149</v>
      </c>
      <c r="AM6" s="170">
        <v>60</v>
      </c>
      <c r="AN6" s="174" t="s">
        <v>150</v>
      </c>
      <c r="AO6" s="175" t="s">
        <v>151</v>
      </c>
      <c r="AP6" s="170">
        <v>61</v>
      </c>
      <c r="AQ6" s="174" t="s">
        <v>152</v>
      </c>
      <c r="AR6" s="175" t="s">
        <v>153</v>
      </c>
      <c r="AS6" s="170">
        <v>61</v>
      </c>
      <c r="AT6" s="174" t="s">
        <v>154</v>
      </c>
      <c r="AU6" s="175" t="s">
        <v>155</v>
      </c>
      <c r="AV6" s="170">
        <v>61</v>
      </c>
      <c r="AW6" s="174" t="s">
        <v>156</v>
      </c>
      <c r="AX6" s="175" t="s">
        <v>157</v>
      </c>
      <c r="AY6" s="170">
        <v>63</v>
      </c>
      <c r="AZ6" s="174" t="s">
        <v>158</v>
      </c>
      <c r="BA6" s="175" t="s">
        <v>159</v>
      </c>
      <c r="BB6" s="170">
        <v>64</v>
      </c>
      <c r="BC6" s="174" t="s">
        <v>160</v>
      </c>
      <c r="BD6" s="175" t="s">
        <v>161</v>
      </c>
      <c r="BE6" s="170">
        <v>64</v>
      </c>
      <c r="BF6" s="174" t="s">
        <v>162</v>
      </c>
      <c r="BG6" s="175" t="s">
        <v>163</v>
      </c>
      <c r="BH6" s="170">
        <v>63</v>
      </c>
      <c r="BI6" s="174" t="s">
        <v>164</v>
      </c>
      <c r="BJ6" s="175" t="s">
        <v>165</v>
      </c>
      <c r="BK6" s="170">
        <v>62</v>
      </c>
      <c r="BL6" s="174" t="s">
        <v>166</v>
      </c>
      <c r="BM6" s="175" t="s">
        <v>167</v>
      </c>
      <c r="BN6" s="170">
        <v>61</v>
      </c>
      <c r="BO6" s="174" t="s">
        <v>168</v>
      </c>
      <c r="BP6" s="175" t="s">
        <v>169</v>
      </c>
      <c r="BQ6" s="170">
        <v>55</v>
      </c>
      <c r="BR6" s="174" t="s">
        <v>170</v>
      </c>
      <c r="BS6" s="175" t="s">
        <v>171</v>
      </c>
      <c r="BT6" s="170">
        <v>46</v>
      </c>
      <c r="BU6" s="174" t="s">
        <v>172</v>
      </c>
      <c r="BV6" s="172" t="s">
        <v>173</v>
      </c>
      <c r="BW6" s="170">
        <v>41</v>
      </c>
      <c r="BX6" s="174" t="s">
        <v>174</v>
      </c>
      <c r="BY6" s="175" t="s">
        <v>175</v>
      </c>
      <c r="BZ6" s="170">
        <v>38</v>
      </c>
      <c r="CA6" s="174" t="s">
        <v>176</v>
      </c>
      <c r="CB6" s="175" t="s">
        <v>177</v>
      </c>
    </row>
    <row r="7" spans="1:81" x14ac:dyDescent="0.25">
      <c r="A7" s="1206"/>
      <c r="B7" s="1250"/>
      <c r="C7" s="1207"/>
      <c r="D7" s="1253"/>
      <c r="E7" s="1206"/>
      <c r="F7" s="1207"/>
      <c r="G7" s="1189" t="s">
        <v>46</v>
      </c>
      <c r="H7" s="1191"/>
      <c r="I7" s="176" t="s">
        <v>178</v>
      </c>
      <c r="J7" s="177" t="s">
        <v>179</v>
      </c>
      <c r="K7" s="178" t="s">
        <v>180</v>
      </c>
      <c r="L7" s="179">
        <v>179</v>
      </c>
      <c r="M7" s="177" t="s">
        <v>181</v>
      </c>
      <c r="N7" s="178" t="s">
        <v>182</v>
      </c>
      <c r="O7" s="179">
        <v>176</v>
      </c>
      <c r="P7" s="177" t="s">
        <v>183</v>
      </c>
      <c r="Q7" s="178" t="s">
        <v>184</v>
      </c>
      <c r="R7" s="179">
        <v>178</v>
      </c>
      <c r="S7" s="177" t="s">
        <v>185</v>
      </c>
      <c r="T7" s="178" t="s">
        <v>186</v>
      </c>
      <c r="U7" s="179">
        <v>191</v>
      </c>
      <c r="V7" s="177" t="s">
        <v>187</v>
      </c>
      <c r="W7" s="178" t="s">
        <v>188</v>
      </c>
      <c r="X7" s="179">
        <v>208</v>
      </c>
      <c r="Y7" s="177" t="s">
        <v>189</v>
      </c>
      <c r="Z7" s="178" t="s">
        <v>190</v>
      </c>
      <c r="AA7" s="179">
        <v>243</v>
      </c>
      <c r="AB7" s="177" t="s">
        <v>191</v>
      </c>
      <c r="AC7" s="178" t="s">
        <v>192</v>
      </c>
      <c r="AD7" s="180">
        <v>299</v>
      </c>
      <c r="AE7" s="177" t="s">
        <v>193</v>
      </c>
      <c r="AF7" s="178" t="s">
        <v>194</v>
      </c>
      <c r="AG7" s="180">
        <v>302</v>
      </c>
      <c r="AH7" s="177" t="s">
        <v>195</v>
      </c>
      <c r="AI7" s="178" t="s">
        <v>196</v>
      </c>
      <c r="AJ7" s="181">
        <v>314</v>
      </c>
      <c r="AK7" s="182" t="s">
        <v>197</v>
      </c>
      <c r="AL7" s="183" t="s">
        <v>198</v>
      </c>
      <c r="AM7" s="180">
        <v>320</v>
      </c>
      <c r="AN7" s="182" t="s">
        <v>199</v>
      </c>
      <c r="AO7" s="183" t="s">
        <v>200</v>
      </c>
      <c r="AP7" s="180">
        <v>311</v>
      </c>
      <c r="AQ7" s="182" t="s">
        <v>201</v>
      </c>
      <c r="AR7" s="183" t="s">
        <v>202</v>
      </c>
      <c r="AS7" s="180">
        <v>318</v>
      </c>
      <c r="AT7" s="182" t="s">
        <v>203</v>
      </c>
      <c r="AU7" s="183" t="s">
        <v>204</v>
      </c>
      <c r="AV7" s="180">
        <v>323</v>
      </c>
      <c r="AW7" s="182" t="s">
        <v>205</v>
      </c>
      <c r="AX7" s="183" t="s">
        <v>206</v>
      </c>
      <c r="AY7" s="180">
        <v>339</v>
      </c>
      <c r="AZ7" s="182" t="s">
        <v>207</v>
      </c>
      <c r="BA7" s="183" t="s">
        <v>208</v>
      </c>
      <c r="BB7" s="180">
        <v>342</v>
      </c>
      <c r="BC7" s="182" t="s">
        <v>209</v>
      </c>
      <c r="BD7" s="183" t="s">
        <v>210</v>
      </c>
      <c r="BE7" s="180">
        <v>341</v>
      </c>
      <c r="BF7" s="182" t="s">
        <v>211</v>
      </c>
      <c r="BG7" s="183" t="s">
        <v>212</v>
      </c>
      <c r="BH7" s="180">
        <v>354</v>
      </c>
      <c r="BI7" s="182" t="s">
        <v>213</v>
      </c>
      <c r="BJ7" s="183" t="s">
        <v>214</v>
      </c>
      <c r="BK7" s="180">
        <v>345</v>
      </c>
      <c r="BL7" s="182" t="s">
        <v>215</v>
      </c>
      <c r="BM7" s="183" t="s">
        <v>216</v>
      </c>
      <c r="BN7" s="180">
        <v>341</v>
      </c>
      <c r="BO7" s="182" t="s">
        <v>217</v>
      </c>
      <c r="BP7" s="183" t="s">
        <v>218</v>
      </c>
      <c r="BQ7" s="180">
        <v>311</v>
      </c>
      <c r="BR7" s="182" t="s">
        <v>219</v>
      </c>
      <c r="BS7" s="183" t="s">
        <v>220</v>
      </c>
      <c r="BT7" s="180">
        <v>238</v>
      </c>
      <c r="BU7" s="182" t="s">
        <v>221</v>
      </c>
      <c r="BV7" s="183" t="s">
        <v>222</v>
      </c>
      <c r="BW7" s="180">
        <v>211</v>
      </c>
      <c r="BX7" s="182" t="s">
        <v>223</v>
      </c>
      <c r="BY7" s="183" t="s">
        <v>224</v>
      </c>
      <c r="BZ7" s="180">
        <v>192</v>
      </c>
      <c r="CA7" s="182" t="s">
        <v>225</v>
      </c>
      <c r="CB7" s="183" t="s">
        <v>226</v>
      </c>
    </row>
    <row r="8" spans="1:81" ht="13.5" customHeight="1" thickBot="1" x14ac:dyDescent="0.3">
      <c r="A8" s="1206"/>
      <c r="B8" s="1250"/>
      <c r="C8" s="1207"/>
      <c r="D8" s="1253"/>
      <c r="E8" s="1208"/>
      <c r="F8" s="1209"/>
      <c r="G8" s="1192" t="s">
        <v>227</v>
      </c>
      <c r="H8" s="1194"/>
      <c r="I8" s="184">
        <v>397</v>
      </c>
      <c r="J8" s="185" t="s">
        <v>228</v>
      </c>
      <c r="K8" s="186" t="s">
        <v>229</v>
      </c>
      <c r="L8" s="187">
        <v>400</v>
      </c>
      <c r="M8" s="185" t="s">
        <v>230</v>
      </c>
      <c r="N8" s="186" t="s">
        <v>231</v>
      </c>
      <c r="O8" s="180">
        <v>389</v>
      </c>
      <c r="P8" s="185" t="s">
        <v>232</v>
      </c>
      <c r="Q8" s="186" t="s">
        <v>233</v>
      </c>
      <c r="R8" s="180">
        <v>179</v>
      </c>
      <c r="S8" s="185" t="s">
        <v>234</v>
      </c>
      <c r="T8" s="186" t="s">
        <v>235</v>
      </c>
      <c r="U8" s="180">
        <v>433</v>
      </c>
      <c r="V8" s="185" t="s">
        <v>236</v>
      </c>
      <c r="W8" s="186" t="s">
        <v>237</v>
      </c>
      <c r="X8" s="180">
        <v>494</v>
      </c>
      <c r="Y8" s="185" t="s">
        <v>238</v>
      </c>
      <c r="Z8" s="186" t="s">
        <v>239</v>
      </c>
      <c r="AA8" s="180">
        <v>608</v>
      </c>
      <c r="AB8" s="185" t="s">
        <v>240</v>
      </c>
      <c r="AC8" s="186" t="s">
        <v>241</v>
      </c>
      <c r="AD8" s="188">
        <v>624</v>
      </c>
      <c r="AE8" s="185" t="s">
        <v>242</v>
      </c>
      <c r="AF8" s="186" t="s">
        <v>243</v>
      </c>
      <c r="AG8" s="188">
        <v>636</v>
      </c>
      <c r="AH8" s="185" t="s">
        <v>244</v>
      </c>
      <c r="AI8" s="186" t="s">
        <v>245</v>
      </c>
      <c r="AJ8" s="189">
        <v>670</v>
      </c>
      <c r="AK8" s="190" t="s">
        <v>246</v>
      </c>
      <c r="AL8" s="191" t="s">
        <v>247</v>
      </c>
      <c r="AM8" s="188">
        <v>674</v>
      </c>
      <c r="AN8" s="190" t="s">
        <v>248</v>
      </c>
      <c r="AO8" s="191" t="s">
        <v>249</v>
      </c>
      <c r="AP8" s="188">
        <v>628</v>
      </c>
      <c r="AQ8" s="190" t="s">
        <v>250</v>
      </c>
      <c r="AR8" s="191" t="s">
        <v>251</v>
      </c>
      <c r="AS8" s="188">
        <v>648</v>
      </c>
      <c r="AT8" s="190" t="s">
        <v>252</v>
      </c>
      <c r="AU8" s="191" t="s">
        <v>253</v>
      </c>
      <c r="AV8" s="188">
        <v>640</v>
      </c>
      <c r="AW8" s="190" t="s">
        <v>254</v>
      </c>
      <c r="AX8" s="191" t="s">
        <v>255</v>
      </c>
      <c r="AY8" s="188">
        <v>693</v>
      </c>
      <c r="AZ8" s="190" t="s">
        <v>256</v>
      </c>
      <c r="BA8" s="191" t="s">
        <v>257</v>
      </c>
      <c r="BB8" s="188">
        <v>685</v>
      </c>
      <c r="BC8" s="190" t="s">
        <v>258</v>
      </c>
      <c r="BD8" s="191" t="s">
        <v>259</v>
      </c>
      <c r="BE8" s="188">
        <v>678</v>
      </c>
      <c r="BF8" s="190" t="s">
        <v>260</v>
      </c>
      <c r="BG8" s="191" t="s">
        <v>261</v>
      </c>
      <c r="BH8" s="188">
        <v>659</v>
      </c>
      <c r="BI8" s="190" t="s">
        <v>262</v>
      </c>
      <c r="BJ8" s="191" t="s">
        <v>263</v>
      </c>
      <c r="BK8" s="188">
        <v>612</v>
      </c>
      <c r="BL8" s="190" t="s">
        <v>264</v>
      </c>
      <c r="BM8" s="191" t="s">
        <v>265</v>
      </c>
      <c r="BN8" s="188">
        <v>601</v>
      </c>
      <c r="BO8" s="190" t="s">
        <v>266</v>
      </c>
      <c r="BP8" s="191" t="s">
        <v>267</v>
      </c>
      <c r="BQ8" s="188">
        <v>548</v>
      </c>
      <c r="BR8" s="190" t="s">
        <v>268</v>
      </c>
      <c r="BS8" s="191" t="s">
        <v>269</v>
      </c>
      <c r="BT8" s="188">
        <v>500</v>
      </c>
      <c r="BU8" s="190" t="s">
        <v>270</v>
      </c>
      <c r="BV8" s="191" t="s">
        <v>271</v>
      </c>
      <c r="BW8" s="188">
        <v>433</v>
      </c>
      <c r="BX8" s="190" t="s">
        <v>272</v>
      </c>
      <c r="BY8" s="191" t="s">
        <v>273</v>
      </c>
      <c r="BZ8" s="188">
        <v>418</v>
      </c>
      <c r="CA8" s="190" t="s">
        <v>274</v>
      </c>
      <c r="CB8" s="191" t="s">
        <v>275</v>
      </c>
    </row>
    <row r="9" spans="1:81" x14ac:dyDescent="0.25">
      <c r="A9" s="1206"/>
      <c r="B9" s="1250"/>
      <c r="C9" s="1207"/>
      <c r="D9" s="1253"/>
      <c r="E9" s="1204" t="s">
        <v>14</v>
      </c>
      <c r="F9" s="1205"/>
      <c r="G9" s="1186" t="s">
        <v>44</v>
      </c>
      <c r="H9" s="1187"/>
      <c r="I9" s="1285">
        <v>120</v>
      </c>
      <c r="J9" s="1286"/>
      <c r="K9" s="1287"/>
      <c r="L9" s="1285">
        <v>120</v>
      </c>
      <c r="M9" s="1286"/>
      <c r="N9" s="1287"/>
      <c r="O9" s="1280">
        <v>120</v>
      </c>
      <c r="P9" s="1281"/>
      <c r="Q9" s="1282"/>
      <c r="R9" s="1280">
        <v>120</v>
      </c>
      <c r="S9" s="1281"/>
      <c r="T9" s="1282"/>
      <c r="U9" s="1280">
        <v>120</v>
      </c>
      <c r="V9" s="1281"/>
      <c r="W9" s="1282"/>
      <c r="X9" s="1280">
        <v>120</v>
      </c>
      <c r="Y9" s="1281"/>
      <c r="Z9" s="1282"/>
      <c r="AA9" s="1280">
        <v>119</v>
      </c>
      <c r="AB9" s="1281"/>
      <c r="AC9" s="1282"/>
      <c r="AD9" s="1201">
        <v>119</v>
      </c>
      <c r="AE9" s="1283"/>
      <c r="AF9" s="1198"/>
      <c r="AG9" s="1280">
        <v>119</v>
      </c>
      <c r="AH9" s="1281"/>
      <c r="AI9" s="1282"/>
      <c r="AJ9" s="1311">
        <v>119</v>
      </c>
      <c r="AK9" s="1312"/>
      <c r="AL9" s="1313"/>
      <c r="AM9" s="1280">
        <v>118</v>
      </c>
      <c r="AN9" s="1281"/>
      <c r="AO9" s="1282"/>
      <c r="AP9" s="1280">
        <v>119</v>
      </c>
      <c r="AQ9" s="1281"/>
      <c r="AR9" s="1282"/>
      <c r="AS9" s="1280">
        <v>119</v>
      </c>
      <c r="AT9" s="1281"/>
      <c r="AU9" s="1282"/>
      <c r="AV9" s="1280">
        <v>119</v>
      </c>
      <c r="AW9" s="1281"/>
      <c r="AX9" s="1282"/>
      <c r="AY9" s="1280">
        <v>119</v>
      </c>
      <c r="AZ9" s="1281"/>
      <c r="BA9" s="1282"/>
      <c r="BB9" s="1280">
        <v>118</v>
      </c>
      <c r="BC9" s="1281"/>
      <c r="BD9" s="1282"/>
      <c r="BE9" s="1280">
        <v>118</v>
      </c>
      <c r="BF9" s="1281"/>
      <c r="BG9" s="1282"/>
      <c r="BH9" s="1280">
        <v>118</v>
      </c>
      <c r="BI9" s="1281"/>
      <c r="BJ9" s="1282"/>
      <c r="BK9" s="1280">
        <v>118</v>
      </c>
      <c r="BL9" s="1281"/>
      <c r="BM9" s="1282"/>
      <c r="BN9" s="1280">
        <v>119</v>
      </c>
      <c r="BO9" s="1281"/>
      <c r="BP9" s="1282"/>
      <c r="BQ9" s="1280">
        <v>119.5</v>
      </c>
      <c r="BR9" s="1281"/>
      <c r="BS9" s="1282"/>
      <c r="BT9" s="1280">
        <v>120</v>
      </c>
      <c r="BU9" s="1281"/>
      <c r="BV9" s="1282"/>
      <c r="BW9" s="1201">
        <v>120</v>
      </c>
      <c r="BX9" s="1283"/>
      <c r="BY9" s="1198"/>
      <c r="BZ9" s="1201">
        <v>120</v>
      </c>
      <c r="CA9" s="1283"/>
      <c r="CB9" s="1198"/>
    </row>
    <row r="10" spans="1:81" x14ac:dyDescent="0.25">
      <c r="A10" s="1206"/>
      <c r="B10" s="1250"/>
      <c r="C10" s="1207"/>
      <c r="D10" s="1253"/>
      <c r="E10" s="1206"/>
      <c r="F10" s="1207"/>
      <c r="G10" s="1189" t="s">
        <v>46</v>
      </c>
      <c r="H10" s="1190"/>
      <c r="I10" s="1202">
        <v>10.3</v>
      </c>
      <c r="J10" s="1238"/>
      <c r="K10" s="1284"/>
      <c r="L10" s="1202">
        <v>10.3</v>
      </c>
      <c r="M10" s="1238"/>
      <c r="N10" s="1284"/>
      <c r="O10" s="1202">
        <v>10.3</v>
      </c>
      <c r="P10" s="1238"/>
      <c r="Q10" s="1284"/>
      <c r="R10" s="1202">
        <v>10.3</v>
      </c>
      <c r="S10" s="1238"/>
      <c r="T10" s="1284"/>
      <c r="U10" s="1202">
        <v>10.3</v>
      </c>
      <c r="V10" s="1238"/>
      <c r="W10" s="1284"/>
      <c r="X10" s="1202">
        <v>10.3</v>
      </c>
      <c r="Y10" s="1238"/>
      <c r="Z10" s="1284"/>
      <c r="AA10" s="1202">
        <v>10.3</v>
      </c>
      <c r="AB10" s="1238"/>
      <c r="AC10" s="1284"/>
      <c r="AD10" s="1202">
        <v>10.199999999999999</v>
      </c>
      <c r="AE10" s="1304"/>
      <c r="AF10" s="1199"/>
      <c r="AG10" s="1202">
        <v>10.199999999999999</v>
      </c>
      <c r="AH10" s="1304"/>
      <c r="AI10" s="1199"/>
      <c r="AJ10" s="1241">
        <v>10.199999999999999</v>
      </c>
      <c r="AK10" s="1299"/>
      <c r="AL10" s="1244"/>
      <c r="AM10" s="1305">
        <v>10.199999999999999</v>
      </c>
      <c r="AN10" s="1306"/>
      <c r="AO10" s="1307"/>
      <c r="AP10" s="1305">
        <v>10.199999999999999</v>
      </c>
      <c r="AQ10" s="1306"/>
      <c r="AR10" s="1307"/>
      <c r="AS10" s="1305">
        <v>10.199999999999999</v>
      </c>
      <c r="AT10" s="1306"/>
      <c r="AU10" s="1307"/>
      <c r="AV10" s="1241">
        <v>10.199999999999999</v>
      </c>
      <c r="AW10" s="1299"/>
      <c r="AX10" s="1244"/>
      <c r="AY10" s="1241">
        <v>10.199999999999999</v>
      </c>
      <c r="AZ10" s="1299"/>
      <c r="BA10" s="1244"/>
      <c r="BB10" s="1241">
        <v>10.1</v>
      </c>
      <c r="BC10" s="1299"/>
      <c r="BD10" s="1244"/>
      <c r="BE10" s="1241">
        <v>10.199999999999999</v>
      </c>
      <c r="BF10" s="1299"/>
      <c r="BG10" s="1244"/>
      <c r="BH10" s="1241">
        <v>10.199999999999999</v>
      </c>
      <c r="BI10" s="1299"/>
      <c r="BJ10" s="1244"/>
      <c r="BK10" s="1241">
        <v>10.199999999999999</v>
      </c>
      <c r="BL10" s="1299"/>
      <c r="BM10" s="1244"/>
      <c r="BN10" s="1241">
        <v>10.3</v>
      </c>
      <c r="BO10" s="1299"/>
      <c r="BP10" s="1244"/>
      <c r="BQ10" s="1241">
        <v>10.3</v>
      </c>
      <c r="BR10" s="1299"/>
      <c r="BS10" s="1244"/>
      <c r="BT10" s="1241">
        <v>10.3</v>
      </c>
      <c r="BU10" s="1299"/>
      <c r="BV10" s="1244"/>
      <c r="BW10" s="1241">
        <v>10.3</v>
      </c>
      <c r="BX10" s="1299"/>
      <c r="BY10" s="1244"/>
      <c r="BZ10" s="1241">
        <v>10.4</v>
      </c>
      <c r="CA10" s="1299"/>
      <c r="CB10" s="1244"/>
    </row>
    <row r="11" spans="1:81" ht="15.75" thickBot="1" x14ac:dyDescent="0.3">
      <c r="A11" s="1206"/>
      <c r="B11" s="1250"/>
      <c r="C11" s="1207"/>
      <c r="D11" s="1253"/>
      <c r="E11" s="1208"/>
      <c r="F11" s="1209"/>
      <c r="G11" s="1192" t="s">
        <v>227</v>
      </c>
      <c r="H11" s="1193"/>
      <c r="I11" s="1300">
        <v>6.2</v>
      </c>
      <c r="J11" s="1275"/>
      <c r="K11" s="1276"/>
      <c r="L11" s="1300">
        <v>6.2</v>
      </c>
      <c r="M11" s="1275"/>
      <c r="N11" s="1276"/>
      <c r="O11" s="1300">
        <v>6.2</v>
      </c>
      <c r="P11" s="1275"/>
      <c r="Q11" s="1276"/>
      <c r="R11" s="1300">
        <v>6.2</v>
      </c>
      <c r="S11" s="1275"/>
      <c r="T11" s="1276"/>
      <c r="U11" s="1300">
        <v>6.2</v>
      </c>
      <c r="V11" s="1275"/>
      <c r="W11" s="1276"/>
      <c r="X11" s="1300">
        <v>6.2</v>
      </c>
      <c r="Y11" s="1275"/>
      <c r="Z11" s="1276"/>
      <c r="AA11" s="1300">
        <v>6.1</v>
      </c>
      <c r="AB11" s="1275"/>
      <c r="AC11" s="1276"/>
      <c r="AD11" s="1300">
        <v>6</v>
      </c>
      <c r="AE11" s="1301"/>
      <c r="AF11" s="1302"/>
      <c r="AG11" s="1203">
        <v>6</v>
      </c>
      <c r="AH11" s="1303"/>
      <c r="AI11" s="1200"/>
      <c r="AJ11" s="1242">
        <v>6</v>
      </c>
      <c r="AK11" s="1292"/>
      <c r="AL11" s="1245"/>
      <c r="AM11" s="1242">
        <v>6</v>
      </c>
      <c r="AN11" s="1292"/>
      <c r="AO11" s="1245"/>
      <c r="AP11" s="1242">
        <v>6</v>
      </c>
      <c r="AQ11" s="1292"/>
      <c r="AR11" s="1245"/>
      <c r="AS11" s="1242">
        <v>6.1</v>
      </c>
      <c r="AT11" s="1292"/>
      <c r="AU11" s="1245"/>
      <c r="AV11" s="1242">
        <v>6.1</v>
      </c>
      <c r="AW11" s="1292"/>
      <c r="AX11" s="1245"/>
      <c r="AY11" s="1242">
        <v>6</v>
      </c>
      <c r="AZ11" s="1292"/>
      <c r="BA11" s="1245"/>
      <c r="BB11" s="1242">
        <v>6</v>
      </c>
      <c r="BC11" s="1292"/>
      <c r="BD11" s="1245"/>
      <c r="BE11" s="1242">
        <v>6</v>
      </c>
      <c r="BF11" s="1292"/>
      <c r="BG11" s="1245"/>
      <c r="BH11" s="1242">
        <v>6</v>
      </c>
      <c r="BI11" s="1292"/>
      <c r="BJ11" s="1245"/>
      <c r="BK11" s="1242">
        <v>6</v>
      </c>
      <c r="BL11" s="1292"/>
      <c r="BM11" s="1245"/>
      <c r="BN11" s="1242">
        <v>6.1</v>
      </c>
      <c r="BO11" s="1292"/>
      <c r="BP11" s="1245"/>
      <c r="BQ11" s="1242">
        <v>6.1</v>
      </c>
      <c r="BR11" s="1292"/>
      <c r="BS11" s="1245"/>
      <c r="BT11" s="1242">
        <v>6.2</v>
      </c>
      <c r="BU11" s="1292"/>
      <c r="BV11" s="1245"/>
      <c r="BW11" s="1242">
        <v>6.2</v>
      </c>
      <c r="BX11" s="1292"/>
      <c r="BY11" s="1245"/>
      <c r="BZ11" s="1242">
        <v>6.2</v>
      </c>
      <c r="CA11" s="1292"/>
      <c r="CB11" s="1245"/>
    </row>
    <row r="12" spans="1:81" ht="15.75" thickBot="1" x14ac:dyDescent="0.3">
      <c r="A12" s="1208"/>
      <c r="B12" s="1251"/>
      <c r="C12" s="1209"/>
      <c r="D12" s="1254"/>
      <c r="E12" s="1293" t="s">
        <v>15</v>
      </c>
      <c r="F12" s="1294"/>
      <c r="G12" s="1294"/>
      <c r="H12" s="1295"/>
      <c r="I12" s="1296">
        <v>7</v>
      </c>
      <c r="J12" s="1297"/>
      <c r="K12" s="1298"/>
      <c r="L12" s="1296">
        <v>7</v>
      </c>
      <c r="M12" s="1297"/>
      <c r="N12" s="1298"/>
      <c r="O12" s="1182">
        <v>7</v>
      </c>
      <c r="P12" s="1183"/>
      <c r="Q12" s="1184"/>
      <c r="R12" s="1182">
        <v>7</v>
      </c>
      <c r="S12" s="1183"/>
      <c r="T12" s="1184"/>
      <c r="U12" s="1182">
        <v>7</v>
      </c>
      <c r="V12" s="1183"/>
      <c r="W12" s="1184"/>
      <c r="X12" s="1182">
        <v>7</v>
      </c>
      <c r="Y12" s="1183"/>
      <c r="Z12" s="1184"/>
      <c r="AA12" s="1182">
        <v>7</v>
      </c>
      <c r="AB12" s="1183"/>
      <c r="AC12" s="1184"/>
      <c r="AD12" s="1182">
        <v>7</v>
      </c>
      <c r="AE12" s="1183"/>
      <c r="AF12" s="1184"/>
      <c r="AG12" s="1182">
        <v>7</v>
      </c>
      <c r="AH12" s="1183"/>
      <c r="AI12" s="1184"/>
      <c r="AJ12" s="1234">
        <v>7</v>
      </c>
      <c r="AK12" s="1235"/>
      <c r="AL12" s="1236"/>
      <c r="AM12" s="1182">
        <v>7</v>
      </c>
      <c r="AN12" s="1183"/>
      <c r="AO12" s="1184"/>
      <c r="AP12" s="1182">
        <v>7</v>
      </c>
      <c r="AQ12" s="1183"/>
      <c r="AR12" s="1184"/>
      <c r="AS12" s="1182">
        <v>7</v>
      </c>
      <c r="AT12" s="1183"/>
      <c r="AU12" s="1184"/>
      <c r="AV12" s="1182">
        <v>7</v>
      </c>
      <c r="AW12" s="1183"/>
      <c r="AX12" s="1184"/>
      <c r="AY12" s="1182">
        <v>7</v>
      </c>
      <c r="AZ12" s="1183"/>
      <c r="BA12" s="1184"/>
      <c r="BB12" s="1182">
        <v>7</v>
      </c>
      <c r="BC12" s="1183"/>
      <c r="BD12" s="1184"/>
      <c r="BE12" s="1182">
        <v>7</v>
      </c>
      <c r="BF12" s="1183"/>
      <c r="BG12" s="1184"/>
      <c r="BH12" s="1182">
        <v>7</v>
      </c>
      <c r="BI12" s="1183"/>
      <c r="BJ12" s="1184"/>
      <c r="BK12" s="1182">
        <v>7</v>
      </c>
      <c r="BL12" s="1183"/>
      <c r="BM12" s="1184"/>
      <c r="BN12" s="1182">
        <v>7</v>
      </c>
      <c r="BO12" s="1183"/>
      <c r="BP12" s="1184"/>
      <c r="BQ12" s="1182">
        <v>7</v>
      </c>
      <c r="BR12" s="1183"/>
      <c r="BS12" s="1184"/>
      <c r="BT12" s="1182">
        <v>7</v>
      </c>
      <c r="BU12" s="1183"/>
      <c r="BV12" s="1184"/>
      <c r="BW12" s="1182">
        <v>7</v>
      </c>
      <c r="BX12" s="1183"/>
      <c r="BY12" s="1184"/>
      <c r="BZ12" s="1182">
        <v>7</v>
      </c>
      <c r="CA12" s="1183"/>
      <c r="CB12" s="1184"/>
    </row>
    <row r="13" spans="1:81" x14ac:dyDescent="0.25">
      <c r="A13" s="1204" t="s">
        <v>16</v>
      </c>
      <c r="B13" s="1249"/>
      <c r="C13" s="1205"/>
      <c r="D13" s="1252">
        <v>40</v>
      </c>
      <c r="E13" s="1204" t="s">
        <v>13</v>
      </c>
      <c r="F13" s="1205"/>
      <c r="G13" s="1186" t="s">
        <v>44</v>
      </c>
      <c r="H13" s="1188"/>
      <c r="I13" s="170">
        <v>38</v>
      </c>
      <c r="J13" s="171" t="s">
        <v>276</v>
      </c>
      <c r="K13" s="192" t="s">
        <v>277</v>
      </c>
      <c r="L13" s="193">
        <v>37</v>
      </c>
      <c r="M13" s="171" t="s">
        <v>278</v>
      </c>
      <c r="N13" s="192" t="s">
        <v>279</v>
      </c>
      <c r="O13" s="194">
        <v>37</v>
      </c>
      <c r="P13" s="171" t="s">
        <v>280</v>
      </c>
      <c r="Q13" s="192" t="s">
        <v>281</v>
      </c>
      <c r="R13" s="195">
        <v>38</v>
      </c>
      <c r="S13" s="171" t="s">
        <v>282</v>
      </c>
      <c r="T13" s="192" t="s">
        <v>283</v>
      </c>
      <c r="U13" s="195">
        <v>40</v>
      </c>
      <c r="V13" s="171" t="s">
        <v>284</v>
      </c>
      <c r="W13" s="192" t="s">
        <v>285</v>
      </c>
      <c r="X13" s="196">
        <v>46</v>
      </c>
      <c r="Y13" s="171" t="s">
        <v>286</v>
      </c>
      <c r="Z13" s="192" t="s">
        <v>287</v>
      </c>
      <c r="AA13" s="194">
        <v>53</v>
      </c>
      <c r="AB13" s="171" t="s">
        <v>288</v>
      </c>
      <c r="AC13" s="192" t="s">
        <v>289</v>
      </c>
      <c r="AD13" s="195">
        <v>64</v>
      </c>
      <c r="AE13" s="171" t="s">
        <v>290</v>
      </c>
      <c r="AF13" s="192" t="s">
        <v>291</v>
      </c>
      <c r="AG13" s="195">
        <v>66</v>
      </c>
      <c r="AH13" s="171" t="s">
        <v>292</v>
      </c>
      <c r="AI13" s="192" t="s">
        <v>293</v>
      </c>
      <c r="AJ13" s="197">
        <v>66</v>
      </c>
      <c r="AK13" s="174" t="s">
        <v>294</v>
      </c>
      <c r="AL13" s="198" t="s">
        <v>295</v>
      </c>
      <c r="AM13" s="194">
        <v>65</v>
      </c>
      <c r="AN13" s="174" t="s">
        <v>296</v>
      </c>
      <c r="AO13" s="198" t="s">
        <v>297</v>
      </c>
      <c r="AP13" s="195">
        <v>65</v>
      </c>
      <c r="AQ13" s="174" t="s">
        <v>298</v>
      </c>
      <c r="AR13" s="198" t="s">
        <v>299</v>
      </c>
      <c r="AS13" s="195">
        <v>66</v>
      </c>
      <c r="AT13" s="174" t="s">
        <v>300</v>
      </c>
      <c r="AU13" s="198" t="s">
        <v>301</v>
      </c>
      <c r="AV13" s="196">
        <v>67</v>
      </c>
      <c r="AW13" s="174" t="s">
        <v>302</v>
      </c>
      <c r="AX13" s="198" t="s">
        <v>303</v>
      </c>
      <c r="AY13" s="194">
        <v>72</v>
      </c>
      <c r="AZ13" s="174" t="s">
        <v>304</v>
      </c>
      <c r="BA13" s="198" t="s">
        <v>305</v>
      </c>
      <c r="BB13" s="195">
        <v>71</v>
      </c>
      <c r="BC13" s="174" t="s">
        <v>306</v>
      </c>
      <c r="BD13" s="198" t="s">
        <v>307</v>
      </c>
      <c r="BE13" s="195">
        <v>69</v>
      </c>
      <c r="BF13" s="174" t="s">
        <v>308</v>
      </c>
      <c r="BG13" s="198" t="s">
        <v>309</v>
      </c>
      <c r="BH13" s="196">
        <v>68</v>
      </c>
      <c r="BI13" s="174" t="s">
        <v>310</v>
      </c>
      <c r="BJ13" s="198" t="s">
        <v>311</v>
      </c>
      <c r="BK13" s="194">
        <v>67</v>
      </c>
      <c r="BL13" s="174" t="s">
        <v>312</v>
      </c>
      <c r="BM13" s="198" t="s">
        <v>313</v>
      </c>
      <c r="BN13" s="195">
        <v>62</v>
      </c>
      <c r="BO13" s="174" t="s">
        <v>314</v>
      </c>
      <c r="BP13" s="198" t="s">
        <v>315</v>
      </c>
      <c r="BQ13" s="195">
        <v>58</v>
      </c>
      <c r="BR13" s="174" t="s">
        <v>316</v>
      </c>
      <c r="BS13" s="198" t="s">
        <v>317</v>
      </c>
      <c r="BT13" s="196">
        <v>50</v>
      </c>
      <c r="BU13" s="174" t="s">
        <v>318</v>
      </c>
      <c r="BV13" s="198" t="s">
        <v>319</v>
      </c>
      <c r="BW13" s="194">
        <v>45</v>
      </c>
      <c r="BX13" s="174" t="s">
        <v>320</v>
      </c>
      <c r="BY13" s="198" t="s">
        <v>321</v>
      </c>
      <c r="BZ13" s="195">
        <v>40</v>
      </c>
      <c r="CA13" s="174" t="s">
        <v>322</v>
      </c>
      <c r="CB13" s="198" t="s">
        <v>323</v>
      </c>
      <c r="CC13" s="199"/>
    </row>
    <row r="14" spans="1:81" x14ac:dyDescent="0.25">
      <c r="A14" s="1206"/>
      <c r="B14" s="1250"/>
      <c r="C14" s="1207"/>
      <c r="D14" s="1253"/>
      <c r="E14" s="1206"/>
      <c r="F14" s="1207"/>
      <c r="G14" s="1189" t="s">
        <v>46</v>
      </c>
      <c r="H14" s="1191"/>
      <c r="I14" s="176" t="s">
        <v>324</v>
      </c>
      <c r="J14" s="177" t="s">
        <v>325</v>
      </c>
      <c r="K14" s="200" t="s">
        <v>326</v>
      </c>
      <c r="L14" s="180">
        <v>132</v>
      </c>
      <c r="M14" s="177" t="s">
        <v>327</v>
      </c>
      <c r="N14" s="200" t="s">
        <v>328</v>
      </c>
      <c r="O14" s="180">
        <v>129</v>
      </c>
      <c r="P14" s="177" t="s">
        <v>329</v>
      </c>
      <c r="Q14" s="200" t="s">
        <v>330</v>
      </c>
      <c r="R14" s="180">
        <v>129</v>
      </c>
      <c r="S14" s="177" t="s">
        <v>331</v>
      </c>
      <c r="T14" s="200" t="s">
        <v>332</v>
      </c>
      <c r="U14" s="180">
        <v>143</v>
      </c>
      <c r="V14" s="177" t="s">
        <v>333</v>
      </c>
      <c r="W14" s="200" t="s">
        <v>334</v>
      </c>
      <c r="X14" s="180">
        <v>170</v>
      </c>
      <c r="Y14" s="177" t="s">
        <v>335</v>
      </c>
      <c r="Z14" s="200" t="s">
        <v>336</v>
      </c>
      <c r="AA14" s="180">
        <v>228</v>
      </c>
      <c r="AB14" s="177" t="s">
        <v>337</v>
      </c>
      <c r="AC14" s="200" t="s">
        <v>338</v>
      </c>
      <c r="AD14" s="180">
        <v>247</v>
      </c>
      <c r="AE14" s="177" t="s">
        <v>339</v>
      </c>
      <c r="AF14" s="200" t="s">
        <v>340</v>
      </c>
      <c r="AG14" s="180">
        <v>250</v>
      </c>
      <c r="AH14" s="177" t="s">
        <v>341</v>
      </c>
      <c r="AI14" s="200" t="s">
        <v>342</v>
      </c>
      <c r="AJ14" s="181">
        <v>251</v>
      </c>
      <c r="AK14" s="182" t="s">
        <v>343</v>
      </c>
      <c r="AL14" s="201" t="s">
        <v>344</v>
      </c>
      <c r="AM14" s="180">
        <v>258</v>
      </c>
      <c r="AN14" s="182" t="s">
        <v>345</v>
      </c>
      <c r="AO14" s="201" t="s">
        <v>346</v>
      </c>
      <c r="AP14" s="180">
        <v>250</v>
      </c>
      <c r="AQ14" s="182" t="s">
        <v>347</v>
      </c>
      <c r="AR14" s="201" t="s">
        <v>348</v>
      </c>
      <c r="AS14" s="180">
        <v>250</v>
      </c>
      <c r="AT14" s="182" t="s">
        <v>349</v>
      </c>
      <c r="AU14" s="201" t="s">
        <v>350</v>
      </c>
      <c r="AV14" s="180">
        <v>250</v>
      </c>
      <c r="AW14" s="182" t="s">
        <v>351</v>
      </c>
      <c r="AX14" s="201" t="s">
        <v>352</v>
      </c>
      <c r="AY14" s="180">
        <v>268</v>
      </c>
      <c r="AZ14" s="182" t="s">
        <v>353</v>
      </c>
      <c r="BA14" s="201" t="s">
        <v>344</v>
      </c>
      <c r="BB14" s="180">
        <v>274</v>
      </c>
      <c r="BC14" s="182" t="s">
        <v>354</v>
      </c>
      <c r="BD14" s="201" t="s">
        <v>355</v>
      </c>
      <c r="BE14" s="180">
        <v>266</v>
      </c>
      <c r="BF14" s="182" t="s">
        <v>356</v>
      </c>
      <c r="BG14" s="201" t="s">
        <v>357</v>
      </c>
      <c r="BH14" s="180">
        <v>267</v>
      </c>
      <c r="BI14" s="182" t="s">
        <v>358</v>
      </c>
      <c r="BJ14" s="201" t="s">
        <v>359</v>
      </c>
      <c r="BK14" s="180">
        <v>258</v>
      </c>
      <c r="BL14" s="182" t="s">
        <v>360</v>
      </c>
      <c r="BM14" s="201" t="s">
        <v>361</v>
      </c>
      <c r="BN14" s="180">
        <v>245</v>
      </c>
      <c r="BO14" s="182" t="s">
        <v>362</v>
      </c>
      <c r="BP14" s="201" t="s">
        <v>363</v>
      </c>
      <c r="BQ14" s="180">
        <v>220</v>
      </c>
      <c r="BR14" s="182" t="s">
        <v>364</v>
      </c>
      <c r="BS14" s="201" t="s">
        <v>365</v>
      </c>
      <c r="BT14" s="180">
        <v>171</v>
      </c>
      <c r="BU14" s="182" t="s">
        <v>366</v>
      </c>
      <c r="BV14" s="201" t="s">
        <v>367</v>
      </c>
      <c r="BW14" s="180">
        <v>158</v>
      </c>
      <c r="BX14" s="182" t="s">
        <v>368</v>
      </c>
      <c r="BY14" s="201" t="s">
        <v>369</v>
      </c>
      <c r="BZ14" s="180">
        <v>129</v>
      </c>
      <c r="CA14" s="182" t="s">
        <v>370</v>
      </c>
      <c r="CB14" s="201" t="s">
        <v>371</v>
      </c>
      <c r="CC14" s="199"/>
    </row>
    <row r="15" spans="1:81" ht="15.75" thickBot="1" x14ac:dyDescent="0.3">
      <c r="A15" s="1206"/>
      <c r="B15" s="1250"/>
      <c r="C15" s="1207"/>
      <c r="D15" s="1253"/>
      <c r="E15" s="1208"/>
      <c r="F15" s="1209"/>
      <c r="G15" s="1192" t="s">
        <v>227</v>
      </c>
      <c r="H15" s="1194"/>
      <c r="I15" s="176" t="s">
        <v>372</v>
      </c>
      <c r="J15" s="177" t="s">
        <v>373</v>
      </c>
      <c r="K15" s="202" t="s">
        <v>374</v>
      </c>
      <c r="L15" s="187">
        <v>495</v>
      </c>
      <c r="M15" s="177" t="s">
        <v>375</v>
      </c>
      <c r="N15" s="202" t="s">
        <v>376</v>
      </c>
      <c r="O15" s="180">
        <v>502</v>
      </c>
      <c r="P15" s="177" t="s">
        <v>377</v>
      </c>
      <c r="Q15" s="202" t="s">
        <v>378</v>
      </c>
      <c r="R15" s="180">
        <v>513</v>
      </c>
      <c r="S15" s="177" t="s">
        <v>379</v>
      </c>
      <c r="T15" s="202" t="s">
        <v>380</v>
      </c>
      <c r="U15" s="180">
        <v>570</v>
      </c>
      <c r="V15" s="177" t="s">
        <v>381</v>
      </c>
      <c r="W15" s="202" t="s">
        <v>382</v>
      </c>
      <c r="X15" s="180">
        <v>626</v>
      </c>
      <c r="Y15" s="177" t="s">
        <v>383</v>
      </c>
      <c r="Z15" s="202" t="s">
        <v>384</v>
      </c>
      <c r="AA15" s="180">
        <v>806</v>
      </c>
      <c r="AB15" s="177" t="s">
        <v>385</v>
      </c>
      <c r="AC15" s="202" t="s">
        <v>386</v>
      </c>
      <c r="AD15" s="180">
        <v>850</v>
      </c>
      <c r="AE15" s="177" t="s">
        <v>387</v>
      </c>
      <c r="AF15" s="202" t="s">
        <v>388</v>
      </c>
      <c r="AG15" s="180">
        <v>857</v>
      </c>
      <c r="AH15" s="177" t="s">
        <v>389</v>
      </c>
      <c r="AI15" s="202" t="s">
        <v>390</v>
      </c>
      <c r="AJ15" s="181">
        <v>868</v>
      </c>
      <c r="AK15" s="182" t="s">
        <v>391</v>
      </c>
      <c r="AL15" s="203" t="s">
        <v>392</v>
      </c>
      <c r="AM15" s="180">
        <v>848</v>
      </c>
      <c r="AN15" s="182" t="s">
        <v>393</v>
      </c>
      <c r="AO15" s="203" t="s">
        <v>394</v>
      </c>
      <c r="AP15" s="180">
        <v>833</v>
      </c>
      <c r="AQ15" s="182" t="s">
        <v>395</v>
      </c>
      <c r="AR15" s="203" t="s">
        <v>396</v>
      </c>
      <c r="AS15" s="180">
        <v>842</v>
      </c>
      <c r="AT15" s="182" t="s">
        <v>397</v>
      </c>
      <c r="AU15" s="203" t="s">
        <v>398</v>
      </c>
      <c r="AV15" s="180">
        <v>868</v>
      </c>
      <c r="AW15" s="182" t="s">
        <v>399</v>
      </c>
      <c r="AX15" s="203" t="s">
        <v>400</v>
      </c>
      <c r="AY15" s="180">
        <v>925</v>
      </c>
      <c r="AZ15" s="182" t="s">
        <v>401</v>
      </c>
      <c r="BA15" s="203" t="s">
        <v>402</v>
      </c>
      <c r="BB15" s="180">
        <v>916</v>
      </c>
      <c r="BC15" s="182" t="s">
        <v>403</v>
      </c>
      <c r="BD15" s="203" t="s">
        <v>404</v>
      </c>
      <c r="BE15" s="180">
        <v>900</v>
      </c>
      <c r="BF15" s="182" t="s">
        <v>405</v>
      </c>
      <c r="BG15" s="203" t="s">
        <v>406</v>
      </c>
      <c r="BH15" s="180">
        <v>877</v>
      </c>
      <c r="BI15" s="182" t="s">
        <v>407</v>
      </c>
      <c r="BJ15" s="203" t="s">
        <v>408</v>
      </c>
      <c r="BK15" s="180">
        <v>827</v>
      </c>
      <c r="BL15" s="182" t="s">
        <v>409</v>
      </c>
      <c r="BM15" s="203" t="s">
        <v>410</v>
      </c>
      <c r="BN15" s="180">
        <v>776</v>
      </c>
      <c r="BO15" s="182" t="s">
        <v>411</v>
      </c>
      <c r="BP15" s="203" t="s">
        <v>412</v>
      </c>
      <c r="BQ15" s="180">
        <v>728</v>
      </c>
      <c r="BR15" s="182" t="s">
        <v>413</v>
      </c>
      <c r="BS15" s="203" t="s">
        <v>414</v>
      </c>
      <c r="BT15" s="180">
        <v>660</v>
      </c>
      <c r="BU15" s="182" t="s">
        <v>415</v>
      </c>
      <c r="BV15" s="203" t="s">
        <v>416</v>
      </c>
      <c r="BW15" s="180">
        <v>585</v>
      </c>
      <c r="BX15" s="182" t="s">
        <v>417</v>
      </c>
      <c r="BY15" s="203" t="s">
        <v>418</v>
      </c>
      <c r="BZ15" s="180">
        <v>543</v>
      </c>
      <c r="CA15" s="182" t="s">
        <v>419</v>
      </c>
      <c r="CB15" s="203" t="s">
        <v>420</v>
      </c>
      <c r="CC15" s="199"/>
    </row>
    <row r="16" spans="1:81" x14ac:dyDescent="0.25">
      <c r="A16" s="1206"/>
      <c r="B16" s="1250"/>
      <c r="C16" s="1207"/>
      <c r="D16" s="1253"/>
      <c r="E16" s="1204" t="s">
        <v>14</v>
      </c>
      <c r="F16" s="1205"/>
      <c r="G16" s="1186" t="s">
        <v>44</v>
      </c>
      <c r="H16" s="1188"/>
      <c r="I16" s="1285">
        <v>120</v>
      </c>
      <c r="J16" s="1286"/>
      <c r="K16" s="1287"/>
      <c r="L16" s="1288">
        <v>120</v>
      </c>
      <c r="M16" s="1289"/>
      <c r="N16" s="1290"/>
      <c r="O16" s="1201">
        <v>120</v>
      </c>
      <c r="P16" s="1283"/>
      <c r="Q16" s="1198"/>
      <c r="R16" s="1201">
        <v>120</v>
      </c>
      <c r="S16" s="1283"/>
      <c r="T16" s="1198"/>
      <c r="U16" s="1280">
        <v>120</v>
      </c>
      <c r="V16" s="1281"/>
      <c r="W16" s="1282"/>
      <c r="X16" s="1201">
        <v>119</v>
      </c>
      <c r="Y16" s="1283"/>
      <c r="Z16" s="1198"/>
      <c r="AA16" s="1201">
        <v>119</v>
      </c>
      <c r="AB16" s="1283"/>
      <c r="AC16" s="1198"/>
      <c r="AD16" s="1201">
        <v>119</v>
      </c>
      <c r="AE16" s="1283"/>
      <c r="AF16" s="1198"/>
      <c r="AG16" s="1280">
        <v>119</v>
      </c>
      <c r="AH16" s="1281"/>
      <c r="AI16" s="1282"/>
      <c r="AJ16" s="1240">
        <v>118</v>
      </c>
      <c r="AK16" s="1291"/>
      <c r="AL16" s="1243"/>
      <c r="AM16" s="1280">
        <v>117</v>
      </c>
      <c r="AN16" s="1281"/>
      <c r="AO16" s="1282"/>
      <c r="AP16" s="1280">
        <v>118</v>
      </c>
      <c r="AQ16" s="1281"/>
      <c r="AR16" s="1282"/>
      <c r="AS16" s="1280">
        <v>118</v>
      </c>
      <c r="AT16" s="1281"/>
      <c r="AU16" s="1282"/>
      <c r="AV16" s="1280">
        <v>118</v>
      </c>
      <c r="AW16" s="1281"/>
      <c r="AX16" s="1282"/>
      <c r="AY16" s="1280">
        <v>118</v>
      </c>
      <c r="AZ16" s="1281"/>
      <c r="BA16" s="1282"/>
      <c r="BB16" s="1280">
        <v>118</v>
      </c>
      <c r="BC16" s="1281"/>
      <c r="BD16" s="1282"/>
      <c r="BE16" s="1280">
        <v>117</v>
      </c>
      <c r="BF16" s="1281"/>
      <c r="BG16" s="1282"/>
      <c r="BH16" s="1280">
        <v>117</v>
      </c>
      <c r="BI16" s="1281"/>
      <c r="BJ16" s="1282"/>
      <c r="BK16" s="1280">
        <v>118</v>
      </c>
      <c r="BL16" s="1281"/>
      <c r="BM16" s="1282"/>
      <c r="BN16" s="1280">
        <v>118</v>
      </c>
      <c r="BO16" s="1281"/>
      <c r="BP16" s="1282"/>
      <c r="BQ16" s="1280">
        <v>119</v>
      </c>
      <c r="BR16" s="1281"/>
      <c r="BS16" s="1282"/>
      <c r="BT16" s="1280">
        <v>119</v>
      </c>
      <c r="BU16" s="1281"/>
      <c r="BV16" s="1282"/>
      <c r="BW16" s="1201">
        <v>120</v>
      </c>
      <c r="BX16" s="1283"/>
      <c r="BY16" s="1198"/>
      <c r="BZ16" s="1201">
        <v>120</v>
      </c>
      <c r="CA16" s="1283"/>
      <c r="CB16" s="1198"/>
    </row>
    <row r="17" spans="1:80" x14ac:dyDescent="0.25">
      <c r="A17" s="1206"/>
      <c r="B17" s="1250"/>
      <c r="C17" s="1207"/>
      <c r="D17" s="1253"/>
      <c r="E17" s="1206"/>
      <c r="F17" s="1207"/>
      <c r="G17" s="1189" t="s">
        <v>46</v>
      </c>
      <c r="H17" s="1191"/>
      <c r="I17" s="1202">
        <v>10.5</v>
      </c>
      <c r="J17" s="1238"/>
      <c r="K17" s="1284"/>
      <c r="L17" s="1202">
        <v>10.5</v>
      </c>
      <c r="M17" s="1238"/>
      <c r="N17" s="1284"/>
      <c r="O17" s="1202">
        <v>10.5</v>
      </c>
      <c r="P17" s="1238"/>
      <c r="Q17" s="1284"/>
      <c r="R17" s="1202">
        <v>10.5</v>
      </c>
      <c r="S17" s="1238"/>
      <c r="T17" s="1284"/>
      <c r="U17" s="1202">
        <v>10.5</v>
      </c>
      <c r="V17" s="1238"/>
      <c r="W17" s="1284"/>
      <c r="X17" s="1202">
        <v>10.5</v>
      </c>
      <c r="Y17" s="1238"/>
      <c r="Z17" s="1284"/>
      <c r="AA17" s="1202">
        <v>10.4</v>
      </c>
      <c r="AB17" s="1238"/>
      <c r="AC17" s="1284"/>
      <c r="AD17" s="1202">
        <v>10.4</v>
      </c>
      <c r="AE17" s="1238"/>
      <c r="AF17" s="1284"/>
      <c r="AG17" s="1202">
        <v>10.4</v>
      </c>
      <c r="AH17" s="1238"/>
      <c r="AI17" s="1284"/>
      <c r="AJ17" s="1241">
        <v>10.3</v>
      </c>
      <c r="AK17" s="1196"/>
      <c r="AL17" s="1273"/>
      <c r="AM17" s="1241">
        <v>10.3</v>
      </c>
      <c r="AN17" s="1196"/>
      <c r="AO17" s="1273"/>
      <c r="AP17" s="1241">
        <v>10.3</v>
      </c>
      <c r="AQ17" s="1196"/>
      <c r="AR17" s="1273"/>
      <c r="AS17" s="1241">
        <v>10.3</v>
      </c>
      <c r="AT17" s="1196"/>
      <c r="AU17" s="1273"/>
      <c r="AV17" s="1241">
        <v>10.3</v>
      </c>
      <c r="AW17" s="1196"/>
      <c r="AX17" s="1273"/>
      <c r="AY17" s="1241">
        <v>10.3</v>
      </c>
      <c r="AZ17" s="1196"/>
      <c r="BA17" s="1273"/>
      <c r="BB17" s="1241">
        <v>10.3</v>
      </c>
      <c r="BC17" s="1196"/>
      <c r="BD17" s="1273"/>
      <c r="BE17" s="1241">
        <v>10.3</v>
      </c>
      <c r="BF17" s="1196"/>
      <c r="BG17" s="1273"/>
      <c r="BH17" s="1241">
        <v>10.3</v>
      </c>
      <c r="BI17" s="1196"/>
      <c r="BJ17" s="1273"/>
      <c r="BK17" s="1241">
        <v>10.3</v>
      </c>
      <c r="BL17" s="1196"/>
      <c r="BM17" s="1273"/>
      <c r="BN17" s="1241">
        <v>10.4</v>
      </c>
      <c r="BO17" s="1196"/>
      <c r="BP17" s="1273"/>
      <c r="BQ17" s="1241">
        <v>10.5</v>
      </c>
      <c r="BR17" s="1196"/>
      <c r="BS17" s="1273"/>
      <c r="BT17" s="1241">
        <v>10.5</v>
      </c>
      <c r="BU17" s="1196"/>
      <c r="BV17" s="1273"/>
      <c r="BW17" s="1241">
        <v>10.5</v>
      </c>
      <c r="BX17" s="1196"/>
      <c r="BY17" s="1273"/>
      <c r="BZ17" s="1241">
        <v>10.5</v>
      </c>
      <c r="CA17" s="1196"/>
      <c r="CB17" s="1273"/>
    </row>
    <row r="18" spans="1:80" ht="15.75" thickBot="1" x14ac:dyDescent="0.3">
      <c r="A18" s="1206"/>
      <c r="B18" s="1250"/>
      <c r="C18" s="1207"/>
      <c r="D18" s="1253"/>
      <c r="E18" s="1208"/>
      <c r="F18" s="1209"/>
      <c r="G18" s="1192" t="s">
        <v>227</v>
      </c>
      <c r="H18" s="1194"/>
      <c r="I18" s="1274" t="s">
        <v>421</v>
      </c>
      <c r="J18" s="1275"/>
      <c r="K18" s="1276"/>
      <c r="L18" s="1274" t="s">
        <v>421</v>
      </c>
      <c r="M18" s="1275"/>
      <c r="N18" s="1276"/>
      <c r="O18" s="1274" t="s">
        <v>421</v>
      </c>
      <c r="P18" s="1275"/>
      <c r="Q18" s="1276"/>
      <c r="R18" s="1274" t="s">
        <v>421</v>
      </c>
      <c r="S18" s="1275"/>
      <c r="T18" s="1276"/>
      <c r="U18" s="1274" t="s">
        <v>421</v>
      </c>
      <c r="V18" s="1275"/>
      <c r="W18" s="1276"/>
      <c r="X18" s="1274" t="s">
        <v>421</v>
      </c>
      <c r="Y18" s="1275"/>
      <c r="Z18" s="1276"/>
      <c r="AA18" s="1274" t="s">
        <v>422</v>
      </c>
      <c r="AB18" s="1275"/>
      <c r="AC18" s="1276"/>
      <c r="AD18" s="1274" t="s">
        <v>422</v>
      </c>
      <c r="AE18" s="1275"/>
      <c r="AF18" s="1276"/>
      <c r="AG18" s="1274" t="s">
        <v>422</v>
      </c>
      <c r="AH18" s="1275"/>
      <c r="AI18" s="1276"/>
      <c r="AJ18" s="1277" t="s">
        <v>422</v>
      </c>
      <c r="AK18" s="1278"/>
      <c r="AL18" s="1279"/>
      <c r="AM18" s="1277" t="s">
        <v>422</v>
      </c>
      <c r="AN18" s="1278"/>
      <c r="AO18" s="1279"/>
      <c r="AP18" s="1277" t="s">
        <v>422</v>
      </c>
      <c r="AQ18" s="1278"/>
      <c r="AR18" s="1279"/>
      <c r="AS18" s="1277" t="s">
        <v>422</v>
      </c>
      <c r="AT18" s="1278"/>
      <c r="AU18" s="1279"/>
      <c r="AV18" s="1277" t="s">
        <v>422</v>
      </c>
      <c r="AW18" s="1278"/>
      <c r="AX18" s="1279"/>
      <c r="AY18" s="1277" t="s">
        <v>422</v>
      </c>
      <c r="AZ18" s="1278"/>
      <c r="BA18" s="1279"/>
      <c r="BB18" s="1277" t="s">
        <v>422</v>
      </c>
      <c r="BC18" s="1278"/>
      <c r="BD18" s="1279"/>
      <c r="BE18" s="1277" t="s">
        <v>422</v>
      </c>
      <c r="BF18" s="1278"/>
      <c r="BG18" s="1279"/>
      <c r="BH18" s="1277" t="s">
        <v>422</v>
      </c>
      <c r="BI18" s="1278"/>
      <c r="BJ18" s="1279"/>
      <c r="BK18" s="1277" t="s">
        <v>422</v>
      </c>
      <c r="BL18" s="1278"/>
      <c r="BM18" s="1279"/>
      <c r="BN18" s="1277" t="s">
        <v>421</v>
      </c>
      <c r="BO18" s="1278"/>
      <c r="BP18" s="1279"/>
      <c r="BQ18" s="1277" t="s">
        <v>421</v>
      </c>
      <c r="BR18" s="1278"/>
      <c r="BS18" s="1279"/>
      <c r="BT18" s="1277" t="s">
        <v>421</v>
      </c>
      <c r="BU18" s="1278"/>
      <c r="BV18" s="1279"/>
      <c r="BW18" s="1277" t="s">
        <v>423</v>
      </c>
      <c r="BX18" s="1278"/>
      <c r="BY18" s="1279"/>
      <c r="BZ18" s="1277" t="s">
        <v>424</v>
      </c>
      <c r="CA18" s="1278"/>
      <c r="CB18" s="1279"/>
    </row>
    <row r="19" spans="1:80" ht="16.5" customHeight="1" thickBot="1" x14ac:dyDescent="0.3">
      <c r="A19" s="1208"/>
      <c r="B19" s="1251"/>
      <c r="C19" s="1209"/>
      <c r="D19" s="1254"/>
      <c r="E19" s="1293" t="s">
        <v>15</v>
      </c>
      <c r="F19" s="1294"/>
      <c r="G19" s="1294"/>
      <c r="H19" s="1295"/>
      <c r="I19" s="1335">
        <v>8</v>
      </c>
      <c r="J19" s="1336"/>
      <c r="K19" s="1337"/>
      <c r="L19" s="1267">
        <v>8</v>
      </c>
      <c r="M19" s="1268"/>
      <c r="N19" s="1269"/>
      <c r="O19" s="1267">
        <v>8</v>
      </c>
      <c r="P19" s="1268"/>
      <c r="Q19" s="1269"/>
      <c r="R19" s="1267">
        <v>8</v>
      </c>
      <c r="S19" s="1268"/>
      <c r="T19" s="1269"/>
      <c r="U19" s="1267">
        <v>8</v>
      </c>
      <c r="V19" s="1268"/>
      <c r="W19" s="1269"/>
      <c r="X19" s="1267">
        <v>8</v>
      </c>
      <c r="Y19" s="1268"/>
      <c r="Z19" s="1269"/>
      <c r="AA19" s="1267">
        <v>8</v>
      </c>
      <c r="AB19" s="1268"/>
      <c r="AC19" s="1269"/>
      <c r="AD19" s="1267">
        <v>8</v>
      </c>
      <c r="AE19" s="1268"/>
      <c r="AF19" s="1269"/>
      <c r="AG19" s="1267">
        <v>8</v>
      </c>
      <c r="AH19" s="1268"/>
      <c r="AI19" s="1269"/>
      <c r="AJ19" s="1270">
        <v>8</v>
      </c>
      <c r="AK19" s="1271"/>
      <c r="AL19" s="1272"/>
      <c r="AM19" s="1267">
        <v>8</v>
      </c>
      <c r="AN19" s="1268"/>
      <c r="AO19" s="1269"/>
      <c r="AP19" s="1267">
        <v>8</v>
      </c>
      <c r="AQ19" s="1268"/>
      <c r="AR19" s="1269"/>
      <c r="AS19" s="1267">
        <v>8</v>
      </c>
      <c r="AT19" s="1268"/>
      <c r="AU19" s="1269"/>
      <c r="AV19" s="1267">
        <v>8</v>
      </c>
      <c r="AW19" s="1268"/>
      <c r="AX19" s="1269"/>
      <c r="AY19" s="1267">
        <v>8</v>
      </c>
      <c r="AZ19" s="1268"/>
      <c r="BA19" s="1269"/>
      <c r="BB19" s="1267">
        <v>8</v>
      </c>
      <c r="BC19" s="1268"/>
      <c r="BD19" s="1269"/>
      <c r="BE19" s="1267">
        <v>8</v>
      </c>
      <c r="BF19" s="1268"/>
      <c r="BG19" s="1269"/>
      <c r="BH19" s="1267">
        <v>8</v>
      </c>
      <c r="BI19" s="1268"/>
      <c r="BJ19" s="1269"/>
      <c r="BK19" s="1267">
        <v>8</v>
      </c>
      <c r="BL19" s="1268"/>
      <c r="BM19" s="1269"/>
      <c r="BN19" s="1267">
        <v>8</v>
      </c>
      <c r="BO19" s="1268"/>
      <c r="BP19" s="1269"/>
      <c r="BQ19" s="1267">
        <v>8</v>
      </c>
      <c r="BR19" s="1268"/>
      <c r="BS19" s="1269"/>
      <c r="BT19" s="1267">
        <v>8</v>
      </c>
      <c r="BU19" s="1268"/>
      <c r="BV19" s="1269"/>
      <c r="BW19" s="1267">
        <v>8</v>
      </c>
      <c r="BX19" s="1268"/>
      <c r="BY19" s="1269"/>
      <c r="BZ19" s="1267">
        <v>8</v>
      </c>
      <c r="CA19" s="1268"/>
      <c r="CB19" s="1269"/>
    </row>
    <row r="20" spans="1:80" ht="8.25" customHeight="1" x14ac:dyDescent="0.25">
      <c r="A20" s="1204" t="s">
        <v>17</v>
      </c>
      <c r="B20" s="1249"/>
      <c r="C20" s="1205"/>
      <c r="D20" s="1252">
        <v>0.1</v>
      </c>
      <c r="E20" s="1204" t="s">
        <v>13</v>
      </c>
      <c r="F20" s="1205"/>
      <c r="G20" s="1204">
        <v>0.1</v>
      </c>
      <c r="H20" s="1249"/>
      <c r="I20" s="1255">
        <v>112</v>
      </c>
      <c r="J20" s="1237" t="s">
        <v>425</v>
      </c>
      <c r="K20" s="1258"/>
      <c r="L20" s="1255">
        <v>112</v>
      </c>
      <c r="M20" s="1237" t="s">
        <v>426</v>
      </c>
      <c r="N20" s="1258"/>
      <c r="O20" s="1201">
        <v>110</v>
      </c>
      <c r="P20" s="1237" t="s">
        <v>427</v>
      </c>
      <c r="Q20" s="1198"/>
      <c r="R20" s="1201">
        <v>27</v>
      </c>
      <c r="S20" s="1237" t="s">
        <v>428</v>
      </c>
      <c r="T20" s="1198"/>
      <c r="U20" s="1201">
        <v>29</v>
      </c>
      <c r="V20" s="1237" t="s">
        <v>429</v>
      </c>
      <c r="W20" s="1198"/>
      <c r="X20" s="1201">
        <v>30</v>
      </c>
      <c r="Y20" s="1237" t="s">
        <v>430</v>
      </c>
      <c r="Z20" s="1198"/>
      <c r="AA20" s="1201">
        <v>114</v>
      </c>
      <c r="AB20" s="1237" t="s">
        <v>431</v>
      </c>
      <c r="AC20" s="1198"/>
      <c r="AD20" s="1201">
        <v>114</v>
      </c>
      <c r="AE20" s="1237" t="s">
        <v>432</v>
      </c>
      <c r="AF20" s="1198"/>
      <c r="AG20" s="1201">
        <v>108</v>
      </c>
      <c r="AH20" s="1237" t="s">
        <v>433</v>
      </c>
      <c r="AI20" s="1198"/>
      <c r="AJ20" s="1240">
        <v>111</v>
      </c>
      <c r="AK20" s="1195" t="s">
        <v>434</v>
      </c>
      <c r="AL20" s="1243"/>
      <c r="AM20" s="1201">
        <v>107</v>
      </c>
      <c r="AN20" s="1195" t="s">
        <v>435</v>
      </c>
      <c r="AO20" s="1198"/>
      <c r="AP20" s="1201">
        <v>85</v>
      </c>
      <c r="AQ20" s="1195" t="s">
        <v>436</v>
      </c>
      <c r="AR20" s="1198"/>
      <c r="AS20" s="1201">
        <v>111</v>
      </c>
      <c r="AT20" s="1195" t="s">
        <v>437</v>
      </c>
      <c r="AU20" s="1198"/>
      <c r="AV20" s="1201">
        <v>111</v>
      </c>
      <c r="AW20" s="1195" t="s">
        <v>438</v>
      </c>
      <c r="AX20" s="1198"/>
      <c r="AY20" s="1201">
        <v>111</v>
      </c>
      <c r="AZ20" s="1195" t="s">
        <v>439</v>
      </c>
      <c r="BA20" s="1198"/>
      <c r="BB20" s="1201">
        <v>123</v>
      </c>
      <c r="BC20" s="1195" t="s">
        <v>440</v>
      </c>
      <c r="BD20" s="1198"/>
      <c r="BE20" s="1201">
        <v>115</v>
      </c>
      <c r="BF20" s="1195" t="s">
        <v>441</v>
      </c>
      <c r="BG20" s="1198"/>
      <c r="BH20" s="1201">
        <v>113</v>
      </c>
      <c r="BI20" s="1195" t="s">
        <v>442</v>
      </c>
      <c r="BJ20" s="1198"/>
      <c r="BK20" s="1201">
        <v>113</v>
      </c>
      <c r="BL20" s="1195" t="s">
        <v>443</v>
      </c>
      <c r="BM20" s="1198"/>
      <c r="BN20" s="1201">
        <v>114</v>
      </c>
      <c r="BO20" s="1195" t="s">
        <v>444</v>
      </c>
      <c r="BP20" s="1198"/>
      <c r="BQ20" s="1201">
        <v>33</v>
      </c>
      <c r="BR20" s="1195" t="s">
        <v>445</v>
      </c>
      <c r="BS20" s="1198"/>
      <c r="BT20" s="1201">
        <v>50</v>
      </c>
      <c r="BU20" s="1195" t="s">
        <v>446</v>
      </c>
      <c r="BV20" s="1198"/>
      <c r="BW20" s="1201">
        <v>45</v>
      </c>
      <c r="BX20" s="1195" t="s">
        <v>447</v>
      </c>
      <c r="BY20" s="1198"/>
      <c r="BZ20" s="1201">
        <v>40</v>
      </c>
      <c r="CA20" s="1195" t="s">
        <v>448</v>
      </c>
      <c r="CB20" s="1198"/>
    </row>
    <row r="21" spans="1:80" ht="8.25" customHeight="1" x14ac:dyDescent="0.25">
      <c r="A21" s="1206"/>
      <c r="B21" s="1250"/>
      <c r="C21" s="1207"/>
      <c r="D21" s="1253"/>
      <c r="E21" s="1206"/>
      <c r="F21" s="1207"/>
      <c r="G21" s="1206"/>
      <c r="H21" s="1250"/>
      <c r="I21" s="1256"/>
      <c r="J21" s="1238"/>
      <c r="K21" s="1259"/>
      <c r="L21" s="1256"/>
      <c r="M21" s="1238"/>
      <c r="N21" s="1259"/>
      <c r="O21" s="1202"/>
      <c r="P21" s="1238"/>
      <c r="Q21" s="1199"/>
      <c r="R21" s="1202"/>
      <c r="S21" s="1238"/>
      <c r="T21" s="1199"/>
      <c r="U21" s="1202"/>
      <c r="V21" s="1238"/>
      <c r="W21" s="1199"/>
      <c r="X21" s="1202"/>
      <c r="Y21" s="1238"/>
      <c r="Z21" s="1199"/>
      <c r="AA21" s="1202"/>
      <c r="AB21" s="1238"/>
      <c r="AC21" s="1199"/>
      <c r="AD21" s="1202"/>
      <c r="AE21" s="1238"/>
      <c r="AF21" s="1199"/>
      <c r="AG21" s="1202"/>
      <c r="AH21" s="1238"/>
      <c r="AI21" s="1199"/>
      <c r="AJ21" s="1241"/>
      <c r="AK21" s="1196"/>
      <c r="AL21" s="1244"/>
      <c r="AM21" s="1202"/>
      <c r="AN21" s="1196"/>
      <c r="AO21" s="1199"/>
      <c r="AP21" s="1202"/>
      <c r="AQ21" s="1196"/>
      <c r="AR21" s="1199"/>
      <c r="AS21" s="1202"/>
      <c r="AT21" s="1196"/>
      <c r="AU21" s="1199"/>
      <c r="AV21" s="1202"/>
      <c r="AW21" s="1196"/>
      <c r="AX21" s="1199"/>
      <c r="AY21" s="1202"/>
      <c r="AZ21" s="1196"/>
      <c r="BA21" s="1199"/>
      <c r="BB21" s="1202"/>
      <c r="BC21" s="1196"/>
      <c r="BD21" s="1199"/>
      <c r="BE21" s="1202"/>
      <c r="BF21" s="1196"/>
      <c r="BG21" s="1199"/>
      <c r="BH21" s="1202"/>
      <c r="BI21" s="1196"/>
      <c r="BJ21" s="1199"/>
      <c r="BK21" s="1202"/>
      <c r="BL21" s="1196"/>
      <c r="BM21" s="1199"/>
      <c r="BN21" s="1202"/>
      <c r="BO21" s="1196"/>
      <c r="BP21" s="1199"/>
      <c r="BQ21" s="1202"/>
      <c r="BR21" s="1196"/>
      <c r="BS21" s="1199"/>
      <c r="BT21" s="1202"/>
      <c r="BU21" s="1196"/>
      <c r="BV21" s="1199"/>
      <c r="BW21" s="1202"/>
      <c r="BX21" s="1196"/>
      <c r="BY21" s="1199"/>
      <c r="BZ21" s="1202"/>
      <c r="CA21" s="1196"/>
      <c r="CB21" s="1199"/>
    </row>
    <row r="22" spans="1:80" ht="8.25" customHeight="1" thickBot="1" x14ac:dyDescent="0.3">
      <c r="A22" s="1206"/>
      <c r="B22" s="1250"/>
      <c r="C22" s="1207"/>
      <c r="D22" s="1253"/>
      <c r="E22" s="1208"/>
      <c r="F22" s="1209"/>
      <c r="G22" s="1208"/>
      <c r="H22" s="1251"/>
      <c r="I22" s="1257"/>
      <c r="J22" s="1239"/>
      <c r="K22" s="1260"/>
      <c r="L22" s="1257"/>
      <c r="M22" s="1239"/>
      <c r="N22" s="1260"/>
      <c r="O22" s="1203"/>
      <c r="P22" s="1239"/>
      <c r="Q22" s="1200"/>
      <c r="R22" s="1203"/>
      <c r="S22" s="1239"/>
      <c r="T22" s="1200"/>
      <c r="U22" s="1203"/>
      <c r="V22" s="1239"/>
      <c r="W22" s="1200"/>
      <c r="X22" s="1203"/>
      <c r="Y22" s="1239"/>
      <c r="Z22" s="1200"/>
      <c r="AA22" s="1203"/>
      <c r="AB22" s="1239"/>
      <c r="AC22" s="1200"/>
      <c r="AD22" s="1203"/>
      <c r="AE22" s="1239"/>
      <c r="AF22" s="1200"/>
      <c r="AG22" s="1203"/>
      <c r="AH22" s="1239"/>
      <c r="AI22" s="1200"/>
      <c r="AJ22" s="1242"/>
      <c r="AK22" s="1197"/>
      <c r="AL22" s="1245"/>
      <c r="AM22" s="1203"/>
      <c r="AN22" s="1197"/>
      <c r="AO22" s="1200"/>
      <c r="AP22" s="1203"/>
      <c r="AQ22" s="1197"/>
      <c r="AR22" s="1200"/>
      <c r="AS22" s="1203"/>
      <c r="AT22" s="1197"/>
      <c r="AU22" s="1200"/>
      <c r="AV22" s="1203"/>
      <c r="AW22" s="1197"/>
      <c r="AX22" s="1200"/>
      <c r="AY22" s="1203"/>
      <c r="AZ22" s="1197"/>
      <c r="BA22" s="1200"/>
      <c r="BB22" s="1203"/>
      <c r="BC22" s="1197"/>
      <c r="BD22" s="1200"/>
      <c r="BE22" s="1203"/>
      <c r="BF22" s="1197"/>
      <c r="BG22" s="1200"/>
      <c r="BH22" s="1203"/>
      <c r="BI22" s="1197"/>
      <c r="BJ22" s="1200"/>
      <c r="BK22" s="1203"/>
      <c r="BL22" s="1197"/>
      <c r="BM22" s="1200"/>
      <c r="BN22" s="1203"/>
      <c r="BO22" s="1197"/>
      <c r="BP22" s="1200"/>
      <c r="BQ22" s="1203"/>
      <c r="BR22" s="1197"/>
      <c r="BS22" s="1200"/>
      <c r="BT22" s="1203"/>
      <c r="BU22" s="1197"/>
      <c r="BV22" s="1200"/>
      <c r="BW22" s="1203"/>
      <c r="BX22" s="1197"/>
      <c r="BY22" s="1200"/>
      <c r="BZ22" s="1203"/>
      <c r="CA22" s="1197"/>
      <c r="CB22" s="1200"/>
    </row>
    <row r="23" spans="1:80" ht="8.25" customHeight="1" x14ac:dyDescent="0.25">
      <c r="A23" s="1206"/>
      <c r="B23" s="1250"/>
      <c r="C23" s="1207"/>
      <c r="D23" s="1253"/>
      <c r="E23" s="1204" t="s">
        <v>14</v>
      </c>
      <c r="F23" s="1205"/>
      <c r="G23" s="1204">
        <v>0.1</v>
      </c>
      <c r="H23" s="1205"/>
      <c r="I23" s="1213">
        <v>402</v>
      </c>
      <c r="J23" s="1214"/>
      <c r="K23" s="1215"/>
      <c r="L23" s="1213">
        <v>402</v>
      </c>
      <c r="M23" s="1214"/>
      <c r="N23" s="1215"/>
      <c r="O23" s="1213">
        <v>403</v>
      </c>
      <c r="P23" s="1214"/>
      <c r="Q23" s="1215"/>
      <c r="R23" s="1213">
        <v>403</v>
      </c>
      <c r="S23" s="1214"/>
      <c r="T23" s="1215"/>
      <c r="U23" s="1213">
        <v>402</v>
      </c>
      <c r="V23" s="1214"/>
      <c r="W23" s="1215"/>
      <c r="X23" s="1213">
        <v>401</v>
      </c>
      <c r="Y23" s="1214"/>
      <c r="Z23" s="1215"/>
      <c r="AA23" s="1176">
        <v>404</v>
      </c>
      <c r="AB23" s="1177"/>
      <c r="AC23" s="1178"/>
      <c r="AD23" s="1176">
        <v>395</v>
      </c>
      <c r="AE23" s="1177"/>
      <c r="AF23" s="1178"/>
      <c r="AG23" s="1179">
        <v>395</v>
      </c>
      <c r="AH23" s="1180"/>
      <c r="AI23" s="1181"/>
      <c r="AJ23" s="1228">
        <v>395</v>
      </c>
      <c r="AK23" s="1229"/>
      <c r="AL23" s="1230"/>
      <c r="AM23" s="1176">
        <v>395</v>
      </c>
      <c r="AN23" s="1177"/>
      <c r="AO23" s="1178"/>
      <c r="AP23" s="1176">
        <v>397</v>
      </c>
      <c r="AQ23" s="1177"/>
      <c r="AR23" s="1178"/>
      <c r="AS23" s="1176">
        <v>395</v>
      </c>
      <c r="AT23" s="1177"/>
      <c r="AU23" s="1178"/>
      <c r="AV23" s="1176">
        <v>395</v>
      </c>
      <c r="AW23" s="1177"/>
      <c r="AX23" s="1178"/>
      <c r="AY23" s="1176">
        <v>395</v>
      </c>
      <c r="AZ23" s="1177"/>
      <c r="BA23" s="1178"/>
      <c r="BB23" s="1176">
        <v>394</v>
      </c>
      <c r="BC23" s="1177"/>
      <c r="BD23" s="1178"/>
      <c r="BE23" s="1176">
        <v>394</v>
      </c>
      <c r="BF23" s="1177"/>
      <c r="BG23" s="1178"/>
      <c r="BH23" s="1176">
        <v>395</v>
      </c>
      <c r="BI23" s="1177"/>
      <c r="BJ23" s="1178"/>
      <c r="BK23" s="1176">
        <v>398</v>
      </c>
      <c r="BL23" s="1177"/>
      <c r="BM23" s="1178"/>
      <c r="BN23" s="1176">
        <v>398</v>
      </c>
      <c r="BO23" s="1177"/>
      <c r="BP23" s="1178"/>
      <c r="BQ23" s="1176">
        <v>400</v>
      </c>
      <c r="BR23" s="1177"/>
      <c r="BS23" s="1178"/>
      <c r="BT23" s="1176">
        <v>401</v>
      </c>
      <c r="BU23" s="1177"/>
      <c r="BV23" s="1178"/>
      <c r="BW23" s="1176">
        <v>403</v>
      </c>
      <c r="BX23" s="1177"/>
      <c r="BY23" s="1178"/>
      <c r="BZ23" s="1176">
        <v>403</v>
      </c>
      <c r="CA23" s="1177"/>
      <c r="CB23" s="1178"/>
    </row>
    <row r="24" spans="1:80" ht="8.25" customHeight="1" x14ac:dyDescent="0.25">
      <c r="A24" s="1206"/>
      <c r="B24" s="1250"/>
      <c r="C24" s="1207"/>
      <c r="D24" s="1253"/>
      <c r="E24" s="1206"/>
      <c r="F24" s="1207"/>
      <c r="G24" s="1206"/>
      <c r="H24" s="1207"/>
      <c r="I24" s="1213"/>
      <c r="J24" s="1214"/>
      <c r="K24" s="1215"/>
      <c r="L24" s="1213"/>
      <c r="M24" s="1214"/>
      <c r="N24" s="1215"/>
      <c r="O24" s="1213"/>
      <c r="P24" s="1214"/>
      <c r="Q24" s="1215"/>
      <c r="R24" s="1213"/>
      <c r="S24" s="1214"/>
      <c r="T24" s="1215"/>
      <c r="U24" s="1213"/>
      <c r="V24" s="1214"/>
      <c r="W24" s="1215"/>
      <c r="X24" s="1213"/>
      <c r="Y24" s="1214"/>
      <c r="Z24" s="1215"/>
      <c r="AA24" s="1179"/>
      <c r="AB24" s="1180"/>
      <c r="AC24" s="1181"/>
      <c r="AD24" s="1179"/>
      <c r="AE24" s="1180"/>
      <c r="AF24" s="1181"/>
      <c r="AG24" s="1179"/>
      <c r="AH24" s="1180"/>
      <c r="AI24" s="1181"/>
      <c r="AJ24" s="1231"/>
      <c r="AK24" s="1232"/>
      <c r="AL24" s="1233"/>
      <c r="AM24" s="1179"/>
      <c r="AN24" s="1180"/>
      <c r="AO24" s="1181"/>
      <c r="AP24" s="1179"/>
      <c r="AQ24" s="1180"/>
      <c r="AR24" s="1181"/>
      <c r="AS24" s="1179"/>
      <c r="AT24" s="1180"/>
      <c r="AU24" s="1181"/>
      <c r="AV24" s="1179"/>
      <c r="AW24" s="1180"/>
      <c r="AX24" s="1181"/>
      <c r="AY24" s="1179"/>
      <c r="AZ24" s="1180"/>
      <c r="BA24" s="1181"/>
      <c r="BB24" s="1179"/>
      <c r="BC24" s="1180"/>
      <c r="BD24" s="1181"/>
      <c r="BE24" s="1179"/>
      <c r="BF24" s="1180"/>
      <c r="BG24" s="1181"/>
      <c r="BH24" s="1179"/>
      <c r="BI24" s="1180"/>
      <c r="BJ24" s="1181"/>
      <c r="BK24" s="1179"/>
      <c r="BL24" s="1180"/>
      <c r="BM24" s="1181"/>
      <c r="BN24" s="1179"/>
      <c r="BO24" s="1180"/>
      <c r="BP24" s="1181"/>
      <c r="BQ24" s="1179"/>
      <c r="BR24" s="1180"/>
      <c r="BS24" s="1181"/>
      <c r="BT24" s="1179"/>
      <c r="BU24" s="1180"/>
      <c r="BV24" s="1181"/>
      <c r="BW24" s="1179"/>
      <c r="BX24" s="1180"/>
      <c r="BY24" s="1181"/>
      <c r="BZ24" s="1179"/>
      <c r="CA24" s="1180"/>
      <c r="CB24" s="1181"/>
    </row>
    <row r="25" spans="1:80" ht="8.25" customHeight="1" thickBot="1" x14ac:dyDescent="0.3">
      <c r="A25" s="1208"/>
      <c r="B25" s="1251"/>
      <c r="C25" s="1209"/>
      <c r="D25" s="1254"/>
      <c r="E25" s="1208"/>
      <c r="F25" s="1209"/>
      <c r="G25" s="1208"/>
      <c r="H25" s="1209"/>
      <c r="I25" s="1264"/>
      <c r="J25" s="1265"/>
      <c r="K25" s="1266"/>
      <c r="L25" s="1264"/>
      <c r="M25" s="1265"/>
      <c r="N25" s="1266"/>
      <c r="O25" s="1264"/>
      <c r="P25" s="1265"/>
      <c r="Q25" s="1266"/>
      <c r="R25" s="1264"/>
      <c r="S25" s="1265"/>
      <c r="T25" s="1266"/>
      <c r="U25" s="1264"/>
      <c r="V25" s="1265"/>
      <c r="W25" s="1266"/>
      <c r="X25" s="1264"/>
      <c r="Y25" s="1265"/>
      <c r="Z25" s="1266"/>
      <c r="AA25" s="1246"/>
      <c r="AB25" s="1247"/>
      <c r="AC25" s="1248"/>
      <c r="AD25" s="1246"/>
      <c r="AE25" s="1247"/>
      <c r="AF25" s="1248"/>
      <c r="AG25" s="1246"/>
      <c r="AH25" s="1247"/>
      <c r="AI25" s="1248"/>
      <c r="AJ25" s="1261"/>
      <c r="AK25" s="1262"/>
      <c r="AL25" s="1263"/>
      <c r="AM25" s="1246"/>
      <c r="AN25" s="1247"/>
      <c r="AO25" s="1248"/>
      <c r="AP25" s="1246"/>
      <c r="AQ25" s="1247"/>
      <c r="AR25" s="1248"/>
      <c r="AS25" s="1246"/>
      <c r="AT25" s="1247"/>
      <c r="AU25" s="1248"/>
      <c r="AV25" s="1246"/>
      <c r="AW25" s="1247"/>
      <c r="AX25" s="1248"/>
      <c r="AY25" s="1246"/>
      <c r="AZ25" s="1247"/>
      <c r="BA25" s="1248"/>
      <c r="BB25" s="1246"/>
      <c r="BC25" s="1247"/>
      <c r="BD25" s="1248"/>
      <c r="BE25" s="1246"/>
      <c r="BF25" s="1247"/>
      <c r="BG25" s="1248"/>
      <c r="BH25" s="1246"/>
      <c r="BI25" s="1247"/>
      <c r="BJ25" s="1248"/>
      <c r="BK25" s="1246"/>
      <c r="BL25" s="1247"/>
      <c r="BM25" s="1248"/>
      <c r="BN25" s="1246"/>
      <c r="BO25" s="1247"/>
      <c r="BP25" s="1248"/>
      <c r="BQ25" s="1246"/>
      <c r="BR25" s="1247"/>
      <c r="BS25" s="1248"/>
      <c r="BT25" s="1246"/>
      <c r="BU25" s="1247"/>
      <c r="BV25" s="1248"/>
      <c r="BW25" s="1246"/>
      <c r="BX25" s="1247"/>
      <c r="BY25" s="1248"/>
      <c r="BZ25" s="1246"/>
      <c r="CA25" s="1247"/>
      <c r="CB25" s="1248"/>
    </row>
    <row r="26" spans="1:80" ht="8.25" customHeight="1" x14ac:dyDescent="0.25">
      <c r="A26" s="1204" t="s">
        <v>18</v>
      </c>
      <c r="B26" s="1249"/>
      <c r="C26" s="1205"/>
      <c r="D26" s="1252">
        <v>0.1</v>
      </c>
      <c r="E26" s="1204" t="s">
        <v>13</v>
      </c>
      <c r="F26" s="1205"/>
      <c r="G26" s="1204">
        <v>0.1</v>
      </c>
      <c r="H26" s="1205"/>
      <c r="I26" s="1255">
        <v>70</v>
      </c>
      <c r="J26" s="1237" t="s">
        <v>449</v>
      </c>
      <c r="K26" s="1258"/>
      <c r="L26" s="1255">
        <v>75</v>
      </c>
      <c r="M26" s="1237" t="s">
        <v>450</v>
      </c>
      <c r="N26" s="1258"/>
      <c r="O26" s="1201">
        <v>75</v>
      </c>
      <c r="P26" s="1237" t="s">
        <v>451</v>
      </c>
      <c r="Q26" s="1198"/>
      <c r="R26" s="1201">
        <v>77</v>
      </c>
      <c r="S26" s="1237" t="s">
        <v>452</v>
      </c>
      <c r="T26" s="1198"/>
      <c r="U26" s="1201">
        <v>78</v>
      </c>
      <c r="V26" s="1237" t="s">
        <v>453</v>
      </c>
      <c r="W26" s="1198"/>
      <c r="X26" s="1201">
        <v>75</v>
      </c>
      <c r="Y26" s="1237" t="s">
        <v>454</v>
      </c>
      <c r="Z26" s="1198"/>
      <c r="AA26" s="1201">
        <v>76</v>
      </c>
      <c r="AB26" s="1237" t="s">
        <v>455</v>
      </c>
      <c r="AC26" s="1198"/>
      <c r="AD26" s="1201">
        <v>81</v>
      </c>
      <c r="AE26" s="1237" t="s">
        <v>456</v>
      </c>
      <c r="AF26" s="1198"/>
      <c r="AG26" s="1201">
        <v>90</v>
      </c>
      <c r="AH26" s="1237" t="s">
        <v>457</v>
      </c>
      <c r="AI26" s="1198"/>
      <c r="AJ26" s="1240">
        <v>81</v>
      </c>
      <c r="AK26" s="1195" t="s">
        <v>458</v>
      </c>
      <c r="AL26" s="1243"/>
      <c r="AM26" s="1201">
        <v>82</v>
      </c>
      <c r="AN26" s="1195" t="s">
        <v>459</v>
      </c>
      <c r="AO26" s="1198"/>
      <c r="AP26" s="1201">
        <v>202</v>
      </c>
      <c r="AQ26" s="1195" t="s">
        <v>460</v>
      </c>
      <c r="AR26" s="1198"/>
      <c r="AS26" s="1201">
        <v>150</v>
      </c>
      <c r="AT26" s="1195" t="s">
        <v>461</v>
      </c>
      <c r="AU26" s="1198"/>
      <c r="AV26" s="1201">
        <v>161</v>
      </c>
      <c r="AW26" s="1195" t="s">
        <v>462</v>
      </c>
      <c r="AX26" s="1198"/>
      <c r="AY26" s="1201">
        <v>237</v>
      </c>
      <c r="AZ26" s="1195" t="s">
        <v>463</v>
      </c>
      <c r="BA26" s="1198"/>
      <c r="BB26" s="1201">
        <v>148</v>
      </c>
      <c r="BC26" s="1195" t="s">
        <v>464</v>
      </c>
      <c r="BD26" s="1198"/>
      <c r="BE26" s="1201">
        <v>145</v>
      </c>
      <c r="BF26" s="1195" t="s">
        <v>465</v>
      </c>
      <c r="BG26" s="1198"/>
      <c r="BH26" s="1201">
        <v>146</v>
      </c>
      <c r="BI26" s="1195" t="s">
        <v>466</v>
      </c>
      <c r="BJ26" s="1198"/>
      <c r="BK26" s="1201">
        <v>146</v>
      </c>
      <c r="BL26" s="1195" t="s">
        <v>467</v>
      </c>
      <c r="BM26" s="1198"/>
      <c r="BN26" s="1201">
        <v>144</v>
      </c>
      <c r="BO26" s="1195" t="s">
        <v>468</v>
      </c>
      <c r="BP26" s="1198"/>
      <c r="BQ26" s="1201">
        <v>145</v>
      </c>
      <c r="BR26" s="1195" t="s">
        <v>469</v>
      </c>
      <c r="BS26" s="1198"/>
      <c r="BT26" s="1201">
        <v>145</v>
      </c>
      <c r="BU26" s="1195" t="s">
        <v>470</v>
      </c>
      <c r="BV26" s="1198"/>
      <c r="BW26" s="1201">
        <v>145</v>
      </c>
      <c r="BX26" s="1195" t="s">
        <v>471</v>
      </c>
      <c r="BY26" s="1198"/>
      <c r="BZ26" s="1201">
        <v>146</v>
      </c>
      <c r="CA26" s="1195" t="s">
        <v>472</v>
      </c>
      <c r="CB26" s="1198"/>
    </row>
    <row r="27" spans="1:80" ht="8.25" customHeight="1" x14ac:dyDescent="0.25">
      <c r="A27" s="1206"/>
      <c r="B27" s="1250"/>
      <c r="C27" s="1207"/>
      <c r="D27" s="1253"/>
      <c r="E27" s="1206"/>
      <c r="F27" s="1207"/>
      <c r="G27" s="1206"/>
      <c r="H27" s="1207"/>
      <c r="I27" s="1256"/>
      <c r="J27" s="1238"/>
      <c r="K27" s="1259"/>
      <c r="L27" s="1256"/>
      <c r="M27" s="1238"/>
      <c r="N27" s="1259"/>
      <c r="O27" s="1202"/>
      <c r="P27" s="1238"/>
      <c r="Q27" s="1199"/>
      <c r="R27" s="1202"/>
      <c r="S27" s="1238"/>
      <c r="T27" s="1199"/>
      <c r="U27" s="1202"/>
      <c r="V27" s="1238"/>
      <c r="W27" s="1199"/>
      <c r="X27" s="1202"/>
      <c r="Y27" s="1238"/>
      <c r="Z27" s="1199"/>
      <c r="AA27" s="1202"/>
      <c r="AB27" s="1238"/>
      <c r="AC27" s="1199"/>
      <c r="AD27" s="1202"/>
      <c r="AE27" s="1238"/>
      <c r="AF27" s="1199"/>
      <c r="AG27" s="1202"/>
      <c r="AH27" s="1238"/>
      <c r="AI27" s="1199"/>
      <c r="AJ27" s="1241"/>
      <c r="AK27" s="1196"/>
      <c r="AL27" s="1244"/>
      <c r="AM27" s="1202"/>
      <c r="AN27" s="1196"/>
      <c r="AO27" s="1199"/>
      <c r="AP27" s="1202"/>
      <c r="AQ27" s="1196"/>
      <c r="AR27" s="1199"/>
      <c r="AS27" s="1202"/>
      <c r="AT27" s="1196"/>
      <c r="AU27" s="1199"/>
      <c r="AV27" s="1202"/>
      <c r="AW27" s="1196"/>
      <c r="AX27" s="1199"/>
      <c r="AY27" s="1202"/>
      <c r="AZ27" s="1196"/>
      <c r="BA27" s="1199"/>
      <c r="BB27" s="1202"/>
      <c r="BC27" s="1196"/>
      <c r="BD27" s="1199"/>
      <c r="BE27" s="1202"/>
      <c r="BF27" s="1196"/>
      <c r="BG27" s="1199"/>
      <c r="BH27" s="1202"/>
      <c r="BI27" s="1196"/>
      <c r="BJ27" s="1199"/>
      <c r="BK27" s="1202"/>
      <c r="BL27" s="1196"/>
      <c r="BM27" s="1199"/>
      <c r="BN27" s="1202"/>
      <c r="BO27" s="1196"/>
      <c r="BP27" s="1199"/>
      <c r="BQ27" s="1202"/>
      <c r="BR27" s="1196"/>
      <c r="BS27" s="1199"/>
      <c r="BT27" s="1202"/>
      <c r="BU27" s="1196"/>
      <c r="BV27" s="1199"/>
      <c r="BW27" s="1202"/>
      <c r="BX27" s="1196"/>
      <c r="BY27" s="1199"/>
      <c r="BZ27" s="1202"/>
      <c r="CA27" s="1196"/>
      <c r="CB27" s="1199"/>
    </row>
    <row r="28" spans="1:80" ht="8.25" customHeight="1" thickBot="1" x14ac:dyDescent="0.3">
      <c r="A28" s="1206"/>
      <c r="B28" s="1250"/>
      <c r="C28" s="1207"/>
      <c r="D28" s="1253"/>
      <c r="E28" s="1208"/>
      <c r="F28" s="1209"/>
      <c r="G28" s="1208"/>
      <c r="H28" s="1209"/>
      <c r="I28" s="1257"/>
      <c r="J28" s="1239"/>
      <c r="K28" s="1260"/>
      <c r="L28" s="1257"/>
      <c r="M28" s="1239"/>
      <c r="N28" s="1260"/>
      <c r="O28" s="1203"/>
      <c r="P28" s="1239"/>
      <c r="Q28" s="1200"/>
      <c r="R28" s="1203"/>
      <c r="S28" s="1239"/>
      <c r="T28" s="1200"/>
      <c r="U28" s="1203"/>
      <c r="V28" s="1239"/>
      <c r="W28" s="1200"/>
      <c r="X28" s="1203"/>
      <c r="Y28" s="1239"/>
      <c r="Z28" s="1200"/>
      <c r="AA28" s="1203"/>
      <c r="AB28" s="1239"/>
      <c r="AC28" s="1200"/>
      <c r="AD28" s="1203"/>
      <c r="AE28" s="1239"/>
      <c r="AF28" s="1200"/>
      <c r="AG28" s="1203"/>
      <c r="AH28" s="1239"/>
      <c r="AI28" s="1200"/>
      <c r="AJ28" s="1242"/>
      <c r="AK28" s="1197"/>
      <c r="AL28" s="1245"/>
      <c r="AM28" s="1203"/>
      <c r="AN28" s="1197"/>
      <c r="AO28" s="1200"/>
      <c r="AP28" s="1203"/>
      <c r="AQ28" s="1197"/>
      <c r="AR28" s="1200"/>
      <c r="AS28" s="1203"/>
      <c r="AT28" s="1197"/>
      <c r="AU28" s="1200"/>
      <c r="AV28" s="1203"/>
      <c r="AW28" s="1197"/>
      <c r="AX28" s="1200"/>
      <c r="AY28" s="1203"/>
      <c r="AZ28" s="1197"/>
      <c r="BA28" s="1200"/>
      <c r="BB28" s="1203"/>
      <c r="BC28" s="1197"/>
      <c r="BD28" s="1200"/>
      <c r="BE28" s="1203"/>
      <c r="BF28" s="1197"/>
      <c r="BG28" s="1200"/>
      <c r="BH28" s="1203"/>
      <c r="BI28" s="1197"/>
      <c r="BJ28" s="1200"/>
      <c r="BK28" s="1203"/>
      <c r="BL28" s="1197"/>
      <c r="BM28" s="1200"/>
      <c r="BN28" s="1203"/>
      <c r="BO28" s="1197"/>
      <c r="BP28" s="1200"/>
      <c r="BQ28" s="1203"/>
      <c r="BR28" s="1197"/>
      <c r="BS28" s="1200"/>
      <c r="BT28" s="1203"/>
      <c r="BU28" s="1197"/>
      <c r="BV28" s="1200"/>
      <c r="BW28" s="1203"/>
      <c r="BX28" s="1197"/>
      <c r="BY28" s="1200"/>
      <c r="BZ28" s="1203"/>
      <c r="CA28" s="1197"/>
      <c r="CB28" s="1200"/>
    </row>
    <row r="29" spans="1:80" ht="8.25" customHeight="1" x14ac:dyDescent="0.25">
      <c r="A29" s="1206"/>
      <c r="B29" s="1250"/>
      <c r="C29" s="1207"/>
      <c r="D29" s="1253"/>
      <c r="E29" s="1204" t="s">
        <v>14</v>
      </c>
      <c r="F29" s="1205"/>
      <c r="G29" s="1204">
        <v>0.1</v>
      </c>
      <c r="H29" s="1205"/>
      <c r="I29" s="1210">
        <v>408</v>
      </c>
      <c r="J29" s="1211"/>
      <c r="K29" s="1212"/>
      <c r="L29" s="1210">
        <v>408</v>
      </c>
      <c r="M29" s="1211"/>
      <c r="N29" s="1212"/>
      <c r="O29" s="1176">
        <v>408</v>
      </c>
      <c r="P29" s="1177"/>
      <c r="Q29" s="1178"/>
      <c r="R29" s="1176">
        <v>409</v>
      </c>
      <c r="S29" s="1177"/>
      <c r="T29" s="1178"/>
      <c r="U29" s="1176">
        <v>408</v>
      </c>
      <c r="V29" s="1177"/>
      <c r="W29" s="1178"/>
      <c r="X29" s="1176">
        <v>406</v>
      </c>
      <c r="Y29" s="1177"/>
      <c r="Z29" s="1178"/>
      <c r="AA29" s="1176">
        <v>399</v>
      </c>
      <c r="AB29" s="1177"/>
      <c r="AC29" s="1178"/>
      <c r="AD29" s="1219">
        <v>400</v>
      </c>
      <c r="AE29" s="1220"/>
      <c r="AF29" s="1221"/>
      <c r="AG29" s="1219">
        <v>400</v>
      </c>
      <c r="AH29" s="1220"/>
      <c r="AI29" s="1221"/>
      <c r="AJ29" s="1228">
        <v>400</v>
      </c>
      <c r="AK29" s="1229"/>
      <c r="AL29" s="1230"/>
      <c r="AM29" s="1176">
        <v>400</v>
      </c>
      <c r="AN29" s="1177"/>
      <c r="AO29" s="1178"/>
      <c r="AP29" s="1176">
        <v>401</v>
      </c>
      <c r="AQ29" s="1177"/>
      <c r="AR29" s="1178"/>
      <c r="AS29" s="1176">
        <v>400</v>
      </c>
      <c r="AT29" s="1177"/>
      <c r="AU29" s="1178"/>
      <c r="AV29" s="1176">
        <v>400</v>
      </c>
      <c r="AW29" s="1177"/>
      <c r="AX29" s="1178"/>
      <c r="AY29" s="1176">
        <v>399</v>
      </c>
      <c r="AZ29" s="1177"/>
      <c r="BA29" s="1178"/>
      <c r="BB29" s="1176">
        <v>398</v>
      </c>
      <c r="BC29" s="1177"/>
      <c r="BD29" s="1178"/>
      <c r="BE29" s="1176">
        <v>399</v>
      </c>
      <c r="BF29" s="1177"/>
      <c r="BG29" s="1178"/>
      <c r="BH29" s="1176">
        <v>400</v>
      </c>
      <c r="BI29" s="1177"/>
      <c r="BJ29" s="1178"/>
      <c r="BK29" s="1176">
        <v>402</v>
      </c>
      <c r="BL29" s="1177"/>
      <c r="BM29" s="1178"/>
      <c r="BN29" s="1176">
        <v>404</v>
      </c>
      <c r="BO29" s="1177"/>
      <c r="BP29" s="1178"/>
      <c r="BQ29" s="1176">
        <v>405</v>
      </c>
      <c r="BR29" s="1177"/>
      <c r="BS29" s="1178"/>
      <c r="BT29" s="1176">
        <v>407</v>
      </c>
      <c r="BU29" s="1177"/>
      <c r="BV29" s="1178"/>
      <c r="BW29" s="1176">
        <v>408</v>
      </c>
      <c r="BX29" s="1177"/>
      <c r="BY29" s="1178"/>
      <c r="BZ29" s="1176">
        <v>408</v>
      </c>
      <c r="CA29" s="1177"/>
      <c r="CB29" s="1178"/>
    </row>
    <row r="30" spans="1:80" ht="8.25" customHeight="1" x14ac:dyDescent="0.25">
      <c r="A30" s="1206"/>
      <c r="B30" s="1250"/>
      <c r="C30" s="1207"/>
      <c r="D30" s="1253"/>
      <c r="E30" s="1206"/>
      <c r="F30" s="1207"/>
      <c r="G30" s="1206"/>
      <c r="H30" s="1207"/>
      <c r="I30" s="1213"/>
      <c r="J30" s="1214"/>
      <c r="K30" s="1215"/>
      <c r="L30" s="1213"/>
      <c r="M30" s="1214"/>
      <c r="N30" s="1215"/>
      <c r="O30" s="1179"/>
      <c r="P30" s="1180"/>
      <c r="Q30" s="1181"/>
      <c r="R30" s="1179"/>
      <c r="S30" s="1180"/>
      <c r="T30" s="1181"/>
      <c r="U30" s="1179"/>
      <c r="V30" s="1180"/>
      <c r="W30" s="1181"/>
      <c r="X30" s="1179"/>
      <c r="Y30" s="1180"/>
      <c r="Z30" s="1181"/>
      <c r="AA30" s="1179"/>
      <c r="AB30" s="1180"/>
      <c r="AC30" s="1181"/>
      <c r="AD30" s="1222"/>
      <c r="AE30" s="1223"/>
      <c r="AF30" s="1224"/>
      <c r="AG30" s="1222"/>
      <c r="AH30" s="1223"/>
      <c r="AI30" s="1224"/>
      <c r="AJ30" s="1231"/>
      <c r="AK30" s="1232"/>
      <c r="AL30" s="1233"/>
      <c r="AM30" s="1179"/>
      <c r="AN30" s="1180"/>
      <c r="AO30" s="1181"/>
      <c r="AP30" s="1179"/>
      <c r="AQ30" s="1180"/>
      <c r="AR30" s="1181"/>
      <c r="AS30" s="1179"/>
      <c r="AT30" s="1180"/>
      <c r="AU30" s="1181"/>
      <c r="AV30" s="1179"/>
      <c r="AW30" s="1180"/>
      <c r="AX30" s="1181"/>
      <c r="AY30" s="1179"/>
      <c r="AZ30" s="1180"/>
      <c r="BA30" s="1181"/>
      <c r="BB30" s="1179"/>
      <c r="BC30" s="1180"/>
      <c r="BD30" s="1181"/>
      <c r="BE30" s="1179"/>
      <c r="BF30" s="1180"/>
      <c r="BG30" s="1181"/>
      <c r="BH30" s="1179"/>
      <c r="BI30" s="1180"/>
      <c r="BJ30" s="1181"/>
      <c r="BK30" s="1179"/>
      <c r="BL30" s="1180"/>
      <c r="BM30" s="1181"/>
      <c r="BN30" s="1179"/>
      <c r="BO30" s="1180"/>
      <c r="BP30" s="1181"/>
      <c r="BQ30" s="1179"/>
      <c r="BR30" s="1180"/>
      <c r="BS30" s="1181"/>
      <c r="BT30" s="1179"/>
      <c r="BU30" s="1180"/>
      <c r="BV30" s="1181"/>
      <c r="BW30" s="1179"/>
      <c r="BX30" s="1180"/>
      <c r="BY30" s="1181"/>
      <c r="BZ30" s="1179"/>
      <c r="CA30" s="1180"/>
      <c r="CB30" s="1181"/>
    </row>
    <row r="31" spans="1:80" ht="8.25" customHeight="1" thickBot="1" x14ac:dyDescent="0.3">
      <c r="A31" s="1208"/>
      <c r="B31" s="1251"/>
      <c r="C31" s="1209"/>
      <c r="D31" s="1254"/>
      <c r="E31" s="1208"/>
      <c r="F31" s="1209"/>
      <c r="G31" s="1208"/>
      <c r="H31" s="1209"/>
      <c r="I31" s="1216"/>
      <c r="J31" s="1217"/>
      <c r="K31" s="1218"/>
      <c r="L31" s="1216"/>
      <c r="M31" s="1217"/>
      <c r="N31" s="1218"/>
      <c r="O31" s="1182"/>
      <c r="P31" s="1183"/>
      <c r="Q31" s="1184"/>
      <c r="R31" s="1182"/>
      <c r="S31" s="1183"/>
      <c r="T31" s="1184"/>
      <c r="U31" s="1182"/>
      <c r="V31" s="1183"/>
      <c r="W31" s="1184"/>
      <c r="X31" s="1182"/>
      <c r="Y31" s="1183"/>
      <c r="Z31" s="1184"/>
      <c r="AA31" s="1182"/>
      <c r="AB31" s="1183"/>
      <c r="AC31" s="1184"/>
      <c r="AD31" s="1225"/>
      <c r="AE31" s="1226"/>
      <c r="AF31" s="1227"/>
      <c r="AG31" s="1225"/>
      <c r="AH31" s="1226"/>
      <c r="AI31" s="1227"/>
      <c r="AJ31" s="1234"/>
      <c r="AK31" s="1235"/>
      <c r="AL31" s="1236"/>
      <c r="AM31" s="1182"/>
      <c r="AN31" s="1183"/>
      <c r="AO31" s="1184"/>
      <c r="AP31" s="1182"/>
      <c r="AQ31" s="1183"/>
      <c r="AR31" s="1184"/>
      <c r="AS31" s="1182"/>
      <c r="AT31" s="1183"/>
      <c r="AU31" s="1184"/>
      <c r="AV31" s="1182"/>
      <c r="AW31" s="1183"/>
      <c r="AX31" s="1184"/>
      <c r="AY31" s="1182"/>
      <c r="AZ31" s="1183"/>
      <c r="BA31" s="1184"/>
      <c r="BB31" s="1182"/>
      <c r="BC31" s="1183"/>
      <c r="BD31" s="1184"/>
      <c r="BE31" s="1182"/>
      <c r="BF31" s="1183"/>
      <c r="BG31" s="1184"/>
      <c r="BH31" s="1182"/>
      <c r="BI31" s="1183"/>
      <c r="BJ31" s="1184"/>
      <c r="BK31" s="1182"/>
      <c r="BL31" s="1183"/>
      <c r="BM31" s="1184"/>
      <c r="BN31" s="1182"/>
      <c r="BO31" s="1183"/>
      <c r="BP31" s="1184"/>
      <c r="BQ31" s="1182"/>
      <c r="BR31" s="1183"/>
      <c r="BS31" s="1184"/>
      <c r="BT31" s="1182"/>
      <c r="BU31" s="1183"/>
      <c r="BV31" s="1184"/>
      <c r="BW31" s="1182"/>
      <c r="BX31" s="1183"/>
      <c r="BY31" s="1184"/>
      <c r="BZ31" s="1182"/>
      <c r="CA31" s="1183"/>
      <c r="CB31" s="1184"/>
    </row>
    <row r="32" spans="1:80" x14ac:dyDescent="0.25">
      <c r="A32" s="1132" t="s">
        <v>19</v>
      </c>
      <c r="B32" s="1133"/>
      <c r="C32" s="1133"/>
      <c r="D32" s="1162"/>
      <c r="E32" s="1186" t="s">
        <v>44</v>
      </c>
      <c r="F32" s="1187"/>
      <c r="G32" s="1187"/>
      <c r="H32" s="1188"/>
      <c r="I32" s="204"/>
      <c r="J32" s="205"/>
      <c r="K32" s="206"/>
      <c r="L32" s="207"/>
      <c r="M32" s="205"/>
      <c r="N32" s="206"/>
      <c r="O32" s="208"/>
      <c r="P32" s="209"/>
      <c r="Q32" s="210"/>
      <c r="R32" s="208"/>
      <c r="S32" s="209"/>
      <c r="T32" s="210"/>
      <c r="U32" s="208"/>
      <c r="V32" s="209"/>
      <c r="W32" s="210"/>
      <c r="X32" s="211"/>
      <c r="Y32" s="209"/>
      <c r="Z32" s="210"/>
      <c r="AA32" s="208"/>
      <c r="AB32" s="209"/>
      <c r="AC32" s="210"/>
      <c r="AD32" s="208"/>
      <c r="AE32" s="209"/>
      <c r="AF32" s="210"/>
      <c r="AG32" s="208"/>
      <c r="AH32" s="209"/>
      <c r="AI32" s="210"/>
      <c r="AJ32" s="212"/>
      <c r="AK32" s="213"/>
      <c r="AL32" s="214"/>
      <c r="AM32" s="195"/>
      <c r="AN32" s="215"/>
      <c r="AO32" s="216"/>
      <c r="AP32" s="195"/>
      <c r="AQ32" s="215"/>
      <c r="AR32" s="216"/>
      <c r="AS32" s="195"/>
      <c r="AT32" s="215"/>
      <c r="AU32" s="216"/>
      <c r="AV32" s="194"/>
      <c r="AW32" s="215"/>
      <c r="AX32" s="216"/>
      <c r="AY32" s="195"/>
      <c r="AZ32" s="215"/>
      <c r="BA32" s="216"/>
      <c r="BB32" s="195"/>
      <c r="BC32" s="215"/>
      <c r="BD32" s="216"/>
      <c r="BE32" s="195"/>
      <c r="BF32" s="215"/>
      <c r="BG32" s="216"/>
      <c r="BH32" s="194"/>
      <c r="BI32" s="215"/>
      <c r="BJ32" s="216"/>
      <c r="BK32" s="195"/>
      <c r="BL32" s="215"/>
      <c r="BM32" s="216"/>
      <c r="BN32" s="195"/>
      <c r="BO32" s="215"/>
      <c r="BP32" s="216"/>
      <c r="BQ32" s="195"/>
      <c r="BR32" s="215"/>
      <c r="BS32" s="216"/>
      <c r="BT32" s="194"/>
      <c r="BU32" s="215"/>
      <c r="BV32" s="216"/>
      <c r="BW32" s="195"/>
      <c r="BX32" s="215"/>
      <c r="BY32" s="216"/>
      <c r="BZ32" s="195"/>
      <c r="CA32" s="215"/>
      <c r="CB32" s="216"/>
    </row>
    <row r="33" spans="1:80" x14ac:dyDescent="0.25">
      <c r="A33" s="1134"/>
      <c r="B33" s="1135"/>
      <c r="C33" s="1135"/>
      <c r="D33" s="1163"/>
      <c r="E33" s="1189" t="s">
        <v>46</v>
      </c>
      <c r="F33" s="1190"/>
      <c r="G33" s="1190"/>
      <c r="H33" s="1191"/>
      <c r="I33" s="217"/>
      <c r="J33" s="218"/>
      <c r="K33" s="219"/>
      <c r="L33" s="220"/>
      <c r="M33" s="218"/>
      <c r="N33" s="219"/>
      <c r="O33" s="221"/>
      <c r="P33" s="222"/>
      <c r="Q33" s="223"/>
      <c r="R33" s="221"/>
      <c r="S33" s="222"/>
      <c r="T33" s="223"/>
      <c r="U33" s="221"/>
      <c r="V33" s="222"/>
      <c r="W33" s="223"/>
      <c r="X33" s="224"/>
      <c r="Y33" s="222"/>
      <c r="Z33" s="223"/>
      <c r="AA33" s="221"/>
      <c r="AB33" s="222"/>
      <c r="AC33" s="223"/>
      <c r="AD33" s="221"/>
      <c r="AE33" s="222"/>
      <c r="AF33" s="223"/>
      <c r="AG33" s="221"/>
      <c r="AH33" s="222"/>
      <c r="AI33" s="223"/>
      <c r="AJ33" s="225"/>
      <c r="AK33" s="226"/>
      <c r="AL33" s="227"/>
      <c r="AM33" s="228"/>
      <c r="AN33" s="229"/>
      <c r="AO33" s="230"/>
      <c r="AP33" s="228"/>
      <c r="AQ33" s="229"/>
      <c r="AR33" s="230"/>
      <c r="AS33" s="228"/>
      <c r="AT33" s="229"/>
      <c r="AU33" s="230"/>
      <c r="AV33" s="231"/>
      <c r="AW33" s="229"/>
      <c r="AX33" s="230"/>
      <c r="AY33" s="228"/>
      <c r="AZ33" s="229"/>
      <c r="BA33" s="230"/>
      <c r="BB33" s="228"/>
      <c r="BC33" s="229"/>
      <c r="BD33" s="230"/>
      <c r="BE33" s="228"/>
      <c r="BF33" s="229"/>
      <c r="BG33" s="230"/>
      <c r="BH33" s="231"/>
      <c r="BI33" s="229"/>
      <c r="BJ33" s="230"/>
      <c r="BK33" s="228"/>
      <c r="BL33" s="229"/>
      <c r="BM33" s="230"/>
      <c r="BN33" s="228"/>
      <c r="BO33" s="229"/>
      <c r="BP33" s="230"/>
      <c r="BQ33" s="228"/>
      <c r="BR33" s="229"/>
      <c r="BS33" s="230"/>
      <c r="BT33" s="231"/>
      <c r="BU33" s="229"/>
      <c r="BV33" s="230"/>
      <c r="BW33" s="228"/>
      <c r="BX33" s="229"/>
      <c r="BY33" s="230"/>
      <c r="BZ33" s="228"/>
      <c r="CA33" s="229"/>
      <c r="CB33" s="230"/>
    </row>
    <row r="34" spans="1:80" ht="15" customHeight="1" thickBot="1" x14ac:dyDescent="0.3">
      <c r="A34" s="1136"/>
      <c r="B34" s="1137"/>
      <c r="C34" s="1137"/>
      <c r="D34" s="1185"/>
      <c r="E34" s="1192" t="s">
        <v>227</v>
      </c>
      <c r="F34" s="1193"/>
      <c r="G34" s="1193"/>
      <c r="H34" s="1194"/>
      <c r="I34" s="232"/>
      <c r="J34" s="233"/>
      <c r="K34" s="234"/>
      <c r="L34" s="235"/>
      <c r="M34" s="233"/>
      <c r="N34" s="234"/>
      <c r="O34" s="236"/>
      <c r="P34" s="237"/>
      <c r="Q34" s="238"/>
      <c r="R34" s="236"/>
      <c r="S34" s="237"/>
      <c r="T34" s="238"/>
      <c r="U34" s="236"/>
      <c r="V34" s="237"/>
      <c r="W34" s="238"/>
      <c r="X34" s="239"/>
      <c r="Y34" s="237"/>
      <c r="Z34" s="238"/>
      <c r="AA34" s="236"/>
      <c r="AB34" s="237"/>
      <c r="AC34" s="238"/>
      <c r="AD34" s="236"/>
      <c r="AE34" s="237"/>
      <c r="AF34" s="238"/>
      <c r="AG34" s="236"/>
      <c r="AH34" s="237"/>
      <c r="AI34" s="238"/>
      <c r="AJ34" s="240"/>
      <c r="AK34" s="241"/>
      <c r="AL34" s="242"/>
      <c r="AM34" s="243"/>
      <c r="AN34" s="244"/>
      <c r="AO34" s="245"/>
      <c r="AP34" s="243"/>
      <c r="AQ34" s="244"/>
      <c r="AR34" s="245"/>
      <c r="AS34" s="243"/>
      <c r="AT34" s="244"/>
      <c r="AU34" s="245"/>
      <c r="AV34" s="246"/>
      <c r="AW34" s="244"/>
      <c r="AX34" s="245"/>
      <c r="AY34" s="243"/>
      <c r="AZ34" s="244"/>
      <c r="BA34" s="245"/>
      <c r="BB34" s="243"/>
      <c r="BC34" s="244"/>
      <c r="BD34" s="245"/>
      <c r="BE34" s="243"/>
      <c r="BF34" s="244"/>
      <c r="BG34" s="245"/>
      <c r="BH34" s="246"/>
      <c r="BI34" s="244"/>
      <c r="BJ34" s="245"/>
      <c r="BK34" s="243"/>
      <c r="BL34" s="244"/>
      <c r="BM34" s="245"/>
      <c r="BN34" s="243"/>
      <c r="BO34" s="244"/>
      <c r="BP34" s="245"/>
      <c r="BQ34" s="243"/>
      <c r="BR34" s="244"/>
      <c r="BS34" s="245"/>
      <c r="BT34" s="246"/>
      <c r="BU34" s="244"/>
      <c r="BV34" s="245"/>
      <c r="BW34" s="243"/>
      <c r="BX34" s="244"/>
      <c r="BY34" s="245"/>
      <c r="BZ34" s="243"/>
      <c r="CA34" s="244"/>
      <c r="CB34" s="245"/>
    </row>
    <row r="35" spans="1:80" ht="15" hidden="1" customHeight="1" thickBot="1" x14ac:dyDescent="0.3">
      <c r="A35" s="247"/>
      <c r="B35" s="248"/>
      <c r="C35" s="248"/>
      <c r="D35" s="249"/>
      <c r="E35" s="250"/>
      <c r="F35" s="1173"/>
      <c r="G35" s="1173"/>
      <c r="H35" s="248"/>
      <c r="I35" s="248"/>
      <c r="J35" s="248"/>
      <c r="K35" s="248"/>
      <c r="L35" s="248"/>
      <c r="M35" s="249"/>
      <c r="N35" s="1173"/>
      <c r="O35" s="1173"/>
      <c r="P35" s="249"/>
      <c r="Q35" s="1173"/>
      <c r="R35" s="1173"/>
      <c r="S35" s="249"/>
      <c r="T35" s="251"/>
      <c r="U35" s="248"/>
      <c r="V35" s="248"/>
      <c r="W35" s="248"/>
      <c r="X35" s="248"/>
      <c r="Y35" s="249"/>
      <c r="Z35" s="1173"/>
      <c r="AA35" s="1173"/>
      <c r="AB35" s="249"/>
      <c r="AC35" s="1173"/>
      <c r="AD35" s="1173"/>
      <c r="AE35" s="249"/>
      <c r="AF35" s="251"/>
      <c r="AG35" s="248"/>
      <c r="AH35" s="248"/>
      <c r="AI35" s="248"/>
      <c r="AJ35" s="248"/>
      <c r="AK35" s="249"/>
      <c r="AL35" s="1173"/>
      <c r="AM35" s="1173"/>
      <c r="AN35" s="249"/>
      <c r="AO35" s="1173"/>
      <c r="AP35" s="1173"/>
      <c r="AQ35" s="249"/>
      <c r="AR35" s="251"/>
      <c r="AS35" s="248"/>
      <c r="AT35" s="248"/>
      <c r="AU35" s="248"/>
      <c r="AV35" s="248"/>
      <c r="AW35" s="249"/>
      <c r="AX35" s="1173"/>
      <c r="AY35" s="1173"/>
      <c r="AZ35" s="249"/>
      <c r="BA35" s="1173"/>
      <c r="BB35" s="1173"/>
      <c r="BC35" s="249"/>
      <c r="BD35" s="251"/>
      <c r="BE35" s="248"/>
      <c r="BF35" s="248"/>
      <c r="BG35" s="248"/>
      <c r="BH35" s="248"/>
      <c r="BI35" s="249"/>
      <c r="BJ35" s="1173"/>
      <c r="BK35" s="1173"/>
      <c r="BL35" s="249"/>
      <c r="BM35" s="1173"/>
      <c r="BN35" s="1173"/>
      <c r="BO35" s="249"/>
      <c r="BP35" s="251"/>
      <c r="BQ35" s="248"/>
      <c r="BR35" s="248"/>
      <c r="BS35" s="248"/>
      <c r="BT35" s="248"/>
      <c r="BU35" s="249"/>
      <c r="BV35" s="1173"/>
      <c r="BW35" s="1173"/>
      <c r="BX35" s="249"/>
      <c r="BY35" s="1173"/>
      <c r="BZ35" s="1173"/>
      <c r="CA35" s="249"/>
      <c r="CB35" s="251"/>
    </row>
    <row r="36" spans="1:80" x14ac:dyDescent="0.25">
      <c r="A36" s="1174" t="s">
        <v>473</v>
      </c>
      <c r="B36" s="1175"/>
      <c r="C36" s="1175"/>
      <c r="D36" s="1175"/>
      <c r="E36" s="1175" t="s">
        <v>474</v>
      </c>
      <c r="F36" s="1175"/>
      <c r="G36" s="1175"/>
      <c r="H36" s="252"/>
      <c r="I36" s="252"/>
      <c r="J36" s="252"/>
      <c r="K36" s="252"/>
      <c r="L36" s="252"/>
      <c r="M36" s="253"/>
      <c r="N36" s="1171"/>
      <c r="O36" s="1171"/>
      <c r="P36" s="253"/>
      <c r="Q36" s="1171"/>
      <c r="R36" s="1171"/>
      <c r="S36" s="253"/>
      <c r="T36" s="254"/>
      <c r="U36" s="252"/>
      <c r="V36" s="252"/>
      <c r="W36" s="252"/>
      <c r="X36" s="252"/>
      <c r="Y36" s="253"/>
      <c r="Z36" s="1171"/>
      <c r="AA36" s="1171"/>
      <c r="AB36" s="253"/>
      <c r="AC36" s="1171"/>
      <c r="AD36" s="1171"/>
      <c r="AE36" s="253"/>
      <c r="AF36" s="254"/>
      <c r="AG36" s="252"/>
      <c r="AH36" s="252"/>
      <c r="AI36" s="252"/>
      <c r="AJ36" s="252"/>
      <c r="AK36" s="253"/>
      <c r="AL36" s="1171"/>
      <c r="AM36" s="1171"/>
      <c r="AN36" s="253"/>
      <c r="AO36" s="1171"/>
      <c r="AP36" s="1171"/>
      <c r="AQ36" s="253"/>
      <c r="AR36" s="254"/>
      <c r="AS36" s="252"/>
      <c r="AT36" s="252"/>
      <c r="AU36" s="252"/>
      <c r="AV36" s="252"/>
      <c r="AW36" s="253"/>
      <c r="AX36" s="1171"/>
      <c r="AY36" s="1171"/>
      <c r="AZ36" s="253"/>
      <c r="BA36" s="1171"/>
      <c r="BB36" s="1171"/>
      <c r="BC36" s="253"/>
      <c r="BD36" s="254"/>
      <c r="BE36" s="252"/>
      <c r="BF36" s="252"/>
      <c r="BG36" s="252"/>
      <c r="BH36" s="252"/>
      <c r="BI36" s="253"/>
      <c r="BJ36" s="1171"/>
      <c r="BK36" s="1171"/>
      <c r="BL36" s="253"/>
      <c r="BM36" s="1171"/>
      <c r="BN36" s="1171"/>
      <c r="BO36" s="253"/>
      <c r="BP36" s="254"/>
      <c r="BQ36" s="252"/>
      <c r="BR36" s="252"/>
      <c r="BS36" s="252"/>
      <c r="BT36" s="252"/>
      <c r="BU36" s="253"/>
      <c r="BV36" s="1171"/>
      <c r="BW36" s="1171"/>
      <c r="BX36" s="253"/>
      <c r="BY36" s="1171"/>
      <c r="BZ36" s="1171"/>
      <c r="CA36" s="253"/>
      <c r="CB36" s="254"/>
    </row>
    <row r="37" spans="1:80" ht="15.75" thickBot="1" x14ac:dyDescent="0.3">
      <c r="A37" s="1174" t="s">
        <v>475</v>
      </c>
      <c r="B37" s="1175"/>
      <c r="C37" s="1175"/>
      <c r="D37" s="1175"/>
      <c r="E37" s="1175" t="s">
        <v>476</v>
      </c>
      <c r="F37" s="1175"/>
      <c r="G37" s="1175"/>
      <c r="H37" s="252"/>
      <c r="I37" s="252"/>
      <c r="J37" s="252"/>
      <c r="K37" s="252"/>
      <c r="L37" s="252"/>
      <c r="M37" s="253"/>
      <c r="N37" s="1171"/>
      <c r="O37" s="1171"/>
      <c r="P37" s="253"/>
      <c r="Q37" s="1171"/>
      <c r="R37" s="1171"/>
      <c r="S37" s="253"/>
      <c r="T37" s="254"/>
      <c r="U37" s="252"/>
      <c r="V37" s="252"/>
      <c r="W37" s="252"/>
      <c r="X37" s="252"/>
      <c r="Y37" s="253"/>
      <c r="Z37" s="1171"/>
      <c r="AA37" s="1171"/>
      <c r="AB37" s="253"/>
      <c r="AC37" s="1171"/>
      <c r="AD37" s="1171"/>
      <c r="AE37" s="253"/>
      <c r="AF37" s="254"/>
      <c r="AG37" s="252"/>
      <c r="AH37" s="252"/>
      <c r="AI37" s="252"/>
      <c r="AJ37" s="252"/>
      <c r="AK37" s="253"/>
      <c r="AL37" s="1171"/>
      <c r="AM37" s="1171"/>
      <c r="AN37" s="253"/>
      <c r="AO37" s="1171"/>
      <c r="AP37" s="1171"/>
      <c r="AQ37" s="253"/>
      <c r="AR37" s="254"/>
      <c r="AS37" s="252"/>
      <c r="AT37" s="252"/>
      <c r="AU37" s="252"/>
      <c r="AV37" s="252"/>
      <c r="AW37" s="253"/>
      <c r="AX37" s="1171"/>
      <c r="AY37" s="1171"/>
      <c r="AZ37" s="253"/>
      <c r="BA37" s="1171"/>
      <c r="BB37" s="1171"/>
      <c r="BC37" s="253"/>
      <c r="BD37" s="254"/>
      <c r="BE37" s="252"/>
      <c r="BF37" s="252"/>
      <c r="BG37" s="252"/>
      <c r="BH37" s="252"/>
      <c r="BI37" s="253"/>
      <c r="BJ37" s="1171"/>
      <c r="BK37" s="1171"/>
      <c r="BL37" s="253"/>
      <c r="BM37" s="1171"/>
      <c r="BN37" s="1171"/>
      <c r="BO37" s="253"/>
      <c r="BP37" s="254"/>
      <c r="BQ37" s="252"/>
      <c r="BR37" s="252"/>
      <c r="BS37" s="252"/>
      <c r="BT37" s="252"/>
      <c r="BU37" s="253"/>
      <c r="BV37" s="1171"/>
      <c r="BW37" s="1171"/>
      <c r="BX37" s="253"/>
      <c r="BY37" s="1171"/>
      <c r="BZ37" s="1171"/>
      <c r="CA37" s="253"/>
      <c r="CB37" s="254"/>
    </row>
    <row r="38" spans="1:80" ht="15.75" hidden="1" customHeight="1" thickBot="1" x14ac:dyDescent="0.3">
      <c r="A38" s="255"/>
      <c r="B38" s="256"/>
      <c r="C38" s="257"/>
      <c r="D38" s="258"/>
      <c r="E38" s="259"/>
      <c r="F38" s="1172"/>
      <c r="G38" s="1172"/>
      <c r="H38" s="256"/>
      <c r="I38" s="256"/>
      <c r="J38" s="256"/>
      <c r="K38" s="256"/>
      <c r="L38" s="256"/>
      <c r="M38" s="258"/>
      <c r="N38" s="1172"/>
      <c r="O38" s="1172"/>
      <c r="P38" s="258"/>
      <c r="Q38" s="1172"/>
      <c r="R38" s="1172"/>
      <c r="S38" s="258"/>
      <c r="T38" s="260"/>
      <c r="U38" s="256"/>
      <c r="V38" s="256"/>
      <c r="W38" s="256"/>
      <c r="X38" s="256"/>
      <c r="Y38" s="258"/>
      <c r="Z38" s="1172"/>
      <c r="AA38" s="1172"/>
      <c r="AB38" s="258"/>
      <c r="AC38" s="1172"/>
      <c r="AD38" s="1172"/>
      <c r="AE38" s="258"/>
      <c r="AF38" s="260"/>
      <c r="AG38" s="256"/>
      <c r="AH38" s="256"/>
      <c r="AI38" s="256"/>
      <c r="AJ38" s="256"/>
      <c r="AK38" s="258"/>
      <c r="AL38" s="1172"/>
      <c r="AM38" s="1172"/>
      <c r="AN38" s="258"/>
      <c r="AO38" s="1172"/>
      <c r="AP38" s="1172"/>
      <c r="AQ38" s="258"/>
      <c r="AR38" s="260"/>
      <c r="AS38" s="256"/>
      <c r="AT38" s="256"/>
      <c r="AU38" s="256"/>
      <c r="AV38" s="256"/>
      <c r="AW38" s="258"/>
      <c r="AX38" s="1172"/>
      <c r="AY38" s="1172"/>
      <c r="AZ38" s="258"/>
      <c r="BA38" s="1172"/>
      <c r="BB38" s="1172"/>
      <c r="BC38" s="258"/>
      <c r="BD38" s="260"/>
      <c r="BE38" s="256"/>
      <c r="BF38" s="256"/>
      <c r="BG38" s="256"/>
      <c r="BH38" s="256"/>
      <c r="BI38" s="258"/>
      <c r="BJ38" s="1172"/>
      <c r="BK38" s="1172"/>
      <c r="BL38" s="258"/>
      <c r="BM38" s="1172"/>
      <c r="BN38" s="1172"/>
      <c r="BO38" s="258"/>
      <c r="BP38" s="260"/>
      <c r="BQ38" s="256"/>
      <c r="BR38" s="256"/>
      <c r="BS38" s="256"/>
      <c r="BT38" s="256"/>
      <c r="BU38" s="258"/>
      <c r="BV38" s="1172"/>
      <c r="BW38" s="1172"/>
      <c r="BX38" s="258"/>
      <c r="BY38" s="1172"/>
      <c r="BZ38" s="1172"/>
      <c r="CA38" s="258"/>
      <c r="CB38" s="260"/>
    </row>
    <row r="39" spans="1:80" ht="15.75" thickBot="1" x14ac:dyDescent="0.3">
      <c r="A39" s="1330" t="s">
        <v>20</v>
      </c>
      <c r="B39" s="1331"/>
      <c r="C39" s="1331"/>
      <c r="D39" s="1331"/>
      <c r="E39" s="1331"/>
      <c r="F39" s="1331"/>
      <c r="G39" s="1331"/>
      <c r="H39" s="1332"/>
      <c r="I39" s="1159" t="s">
        <v>3</v>
      </c>
      <c r="J39" s="1160"/>
      <c r="K39" s="1161"/>
      <c r="L39" s="1159" t="s">
        <v>4</v>
      </c>
      <c r="M39" s="1160"/>
      <c r="N39" s="1161"/>
      <c r="O39" s="1159" t="s">
        <v>129</v>
      </c>
      <c r="P39" s="1160"/>
      <c r="Q39" s="1161"/>
      <c r="R39" s="1159" t="s">
        <v>103</v>
      </c>
      <c r="S39" s="1160"/>
      <c r="T39" s="1161"/>
      <c r="U39" s="1159" t="s">
        <v>104</v>
      </c>
      <c r="V39" s="1160"/>
      <c r="W39" s="1161"/>
      <c r="X39" s="1159" t="s">
        <v>105</v>
      </c>
      <c r="Y39" s="1160"/>
      <c r="Z39" s="1161"/>
      <c r="AA39" s="1168" t="s">
        <v>106</v>
      </c>
      <c r="AB39" s="1169"/>
      <c r="AC39" s="1170"/>
      <c r="AD39" s="1159" t="s">
        <v>108</v>
      </c>
      <c r="AE39" s="1160"/>
      <c r="AF39" s="1161"/>
      <c r="AG39" s="1159" t="s">
        <v>107</v>
      </c>
      <c r="AH39" s="1160"/>
      <c r="AI39" s="1161"/>
      <c r="AJ39" s="1168" t="s">
        <v>109</v>
      </c>
      <c r="AK39" s="1169"/>
      <c r="AL39" s="1170"/>
      <c r="AM39" s="1159" t="s">
        <v>110</v>
      </c>
      <c r="AN39" s="1160"/>
      <c r="AO39" s="1161"/>
      <c r="AP39" s="1159" t="s">
        <v>111</v>
      </c>
      <c r="AQ39" s="1160"/>
      <c r="AR39" s="1161"/>
      <c r="AS39" s="1159" t="s">
        <v>112</v>
      </c>
      <c r="AT39" s="1160"/>
      <c r="AU39" s="1161"/>
      <c r="AV39" s="1159" t="s">
        <v>113</v>
      </c>
      <c r="AW39" s="1160"/>
      <c r="AX39" s="1161"/>
      <c r="AY39" s="1159" t="s">
        <v>114</v>
      </c>
      <c r="AZ39" s="1160"/>
      <c r="BA39" s="1161"/>
      <c r="BB39" s="1159" t="s">
        <v>115</v>
      </c>
      <c r="BC39" s="1160"/>
      <c r="BD39" s="1161"/>
      <c r="BE39" s="1159" t="s">
        <v>116</v>
      </c>
      <c r="BF39" s="1160"/>
      <c r="BG39" s="1161"/>
      <c r="BH39" s="1159" t="s">
        <v>117</v>
      </c>
      <c r="BI39" s="1160"/>
      <c r="BJ39" s="1161"/>
      <c r="BK39" s="1159" t="s">
        <v>118</v>
      </c>
      <c r="BL39" s="1160"/>
      <c r="BM39" s="1161"/>
      <c r="BN39" s="1159" t="s">
        <v>119</v>
      </c>
      <c r="BO39" s="1160"/>
      <c r="BP39" s="1161"/>
      <c r="BQ39" s="1159" t="s">
        <v>120</v>
      </c>
      <c r="BR39" s="1160"/>
      <c r="BS39" s="1161"/>
      <c r="BT39" s="1159" t="s">
        <v>121</v>
      </c>
      <c r="BU39" s="1160"/>
      <c r="BV39" s="1161"/>
      <c r="BW39" s="1159" t="s">
        <v>122</v>
      </c>
      <c r="BX39" s="1160"/>
      <c r="BY39" s="1161"/>
      <c r="BZ39" s="1159" t="s">
        <v>5</v>
      </c>
      <c r="CA39" s="1160"/>
      <c r="CB39" s="1161"/>
    </row>
    <row r="40" spans="1:80" ht="14.25" customHeight="1" x14ac:dyDescent="0.25">
      <c r="A40" s="1132" t="s">
        <v>21</v>
      </c>
      <c r="B40" s="1133"/>
      <c r="C40" s="1133"/>
      <c r="D40" s="1162"/>
      <c r="E40" s="1164" t="s">
        <v>22</v>
      </c>
      <c r="F40" s="1165"/>
      <c r="G40" s="1166" t="s">
        <v>23</v>
      </c>
      <c r="H40" s="1167"/>
      <c r="I40" s="1149" t="s">
        <v>9</v>
      </c>
      <c r="J40" s="1147" t="s">
        <v>10</v>
      </c>
      <c r="K40" s="1147" t="s">
        <v>11</v>
      </c>
      <c r="L40" s="1149" t="s">
        <v>9</v>
      </c>
      <c r="M40" s="1147" t="s">
        <v>10</v>
      </c>
      <c r="N40" s="1147" t="s">
        <v>11</v>
      </c>
      <c r="O40" s="1149" t="s">
        <v>9</v>
      </c>
      <c r="P40" s="1147" t="s">
        <v>10</v>
      </c>
      <c r="Q40" s="1147" t="s">
        <v>11</v>
      </c>
      <c r="R40" s="1149" t="s">
        <v>9</v>
      </c>
      <c r="S40" s="1147" t="s">
        <v>10</v>
      </c>
      <c r="T40" s="1151" t="s">
        <v>11</v>
      </c>
      <c r="U40" s="1149" t="s">
        <v>9</v>
      </c>
      <c r="V40" s="1147" t="s">
        <v>10</v>
      </c>
      <c r="W40" s="1147" t="s">
        <v>11</v>
      </c>
      <c r="X40" s="1149" t="s">
        <v>9</v>
      </c>
      <c r="Y40" s="1147" t="s">
        <v>10</v>
      </c>
      <c r="Z40" s="1147" t="s">
        <v>11</v>
      </c>
      <c r="AA40" s="1149" t="s">
        <v>9</v>
      </c>
      <c r="AB40" s="1147" t="s">
        <v>10</v>
      </c>
      <c r="AC40" s="1147" t="s">
        <v>11</v>
      </c>
      <c r="AD40" s="1149" t="s">
        <v>9</v>
      </c>
      <c r="AE40" s="1147" t="s">
        <v>10</v>
      </c>
      <c r="AF40" s="1151" t="s">
        <v>11</v>
      </c>
      <c r="AG40" s="1149" t="s">
        <v>9</v>
      </c>
      <c r="AH40" s="1147" t="s">
        <v>10</v>
      </c>
      <c r="AI40" s="1147" t="s">
        <v>11</v>
      </c>
      <c r="AJ40" s="1157" t="s">
        <v>9</v>
      </c>
      <c r="AK40" s="1155" t="s">
        <v>10</v>
      </c>
      <c r="AL40" s="1155" t="s">
        <v>11</v>
      </c>
      <c r="AM40" s="1149" t="s">
        <v>9</v>
      </c>
      <c r="AN40" s="1147" t="s">
        <v>10</v>
      </c>
      <c r="AO40" s="1147" t="s">
        <v>11</v>
      </c>
      <c r="AP40" s="1149" t="s">
        <v>9</v>
      </c>
      <c r="AQ40" s="1147" t="s">
        <v>10</v>
      </c>
      <c r="AR40" s="1151" t="s">
        <v>11</v>
      </c>
      <c r="AS40" s="1149" t="s">
        <v>9</v>
      </c>
      <c r="AT40" s="1147" t="s">
        <v>10</v>
      </c>
      <c r="AU40" s="1147" t="s">
        <v>11</v>
      </c>
      <c r="AV40" s="1149" t="s">
        <v>9</v>
      </c>
      <c r="AW40" s="1147" t="s">
        <v>10</v>
      </c>
      <c r="AX40" s="1147" t="s">
        <v>11</v>
      </c>
      <c r="AY40" s="1149" t="s">
        <v>9</v>
      </c>
      <c r="AZ40" s="1147" t="s">
        <v>10</v>
      </c>
      <c r="BA40" s="1147" t="s">
        <v>11</v>
      </c>
      <c r="BB40" s="1149" t="s">
        <v>9</v>
      </c>
      <c r="BC40" s="1147" t="s">
        <v>10</v>
      </c>
      <c r="BD40" s="1151" t="s">
        <v>11</v>
      </c>
      <c r="BE40" s="1149" t="s">
        <v>9</v>
      </c>
      <c r="BF40" s="1147" t="s">
        <v>10</v>
      </c>
      <c r="BG40" s="1147" t="s">
        <v>11</v>
      </c>
      <c r="BH40" s="1149" t="s">
        <v>9</v>
      </c>
      <c r="BI40" s="1147" t="s">
        <v>10</v>
      </c>
      <c r="BJ40" s="1147" t="s">
        <v>11</v>
      </c>
      <c r="BK40" s="1149" t="s">
        <v>9</v>
      </c>
      <c r="BL40" s="1147" t="s">
        <v>10</v>
      </c>
      <c r="BM40" s="1147" t="s">
        <v>11</v>
      </c>
      <c r="BN40" s="1149" t="s">
        <v>9</v>
      </c>
      <c r="BO40" s="1147" t="s">
        <v>10</v>
      </c>
      <c r="BP40" s="1151" t="s">
        <v>11</v>
      </c>
      <c r="BQ40" s="1149" t="s">
        <v>9</v>
      </c>
      <c r="BR40" s="1147" t="s">
        <v>10</v>
      </c>
      <c r="BS40" s="1147" t="s">
        <v>11</v>
      </c>
      <c r="BT40" s="1149" t="s">
        <v>9</v>
      </c>
      <c r="BU40" s="1147" t="s">
        <v>10</v>
      </c>
      <c r="BV40" s="1147" t="s">
        <v>11</v>
      </c>
      <c r="BW40" s="1149" t="s">
        <v>9</v>
      </c>
      <c r="BX40" s="1147" t="s">
        <v>10</v>
      </c>
      <c r="BY40" s="1147" t="s">
        <v>11</v>
      </c>
      <c r="BZ40" s="1149" t="s">
        <v>9</v>
      </c>
      <c r="CA40" s="1147" t="s">
        <v>10</v>
      </c>
      <c r="CB40" s="1151" t="s">
        <v>11</v>
      </c>
    </row>
    <row r="41" spans="1:80" ht="15.75" thickBot="1" x14ac:dyDescent="0.3">
      <c r="A41" s="1136"/>
      <c r="B41" s="1135"/>
      <c r="C41" s="1135"/>
      <c r="D41" s="1163"/>
      <c r="E41" s="261" t="s">
        <v>24</v>
      </c>
      <c r="F41" s="262" t="s">
        <v>25</v>
      </c>
      <c r="G41" s="262" t="s">
        <v>24</v>
      </c>
      <c r="H41" s="263" t="s">
        <v>25</v>
      </c>
      <c r="I41" s="1150"/>
      <c r="J41" s="1148"/>
      <c r="K41" s="1148"/>
      <c r="L41" s="1150"/>
      <c r="M41" s="1148"/>
      <c r="N41" s="1148"/>
      <c r="O41" s="1150"/>
      <c r="P41" s="1148"/>
      <c r="Q41" s="1148"/>
      <c r="R41" s="1150"/>
      <c r="S41" s="1148"/>
      <c r="T41" s="1152"/>
      <c r="U41" s="1150"/>
      <c r="V41" s="1148"/>
      <c r="W41" s="1148"/>
      <c r="X41" s="1150"/>
      <c r="Y41" s="1148"/>
      <c r="Z41" s="1148"/>
      <c r="AA41" s="1150"/>
      <c r="AB41" s="1148"/>
      <c r="AC41" s="1148"/>
      <c r="AD41" s="1150"/>
      <c r="AE41" s="1148"/>
      <c r="AF41" s="1152"/>
      <c r="AG41" s="1150"/>
      <c r="AH41" s="1148"/>
      <c r="AI41" s="1148"/>
      <c r="AJ41" s="1158"/>
      <c r="AK41" s="1156"/>
      <c r="AL41" s="1156"/>
      <c r="AM41" s="1150"/>
      <c r="AN41" s="1148"/>
      <c r="AO41" s="1148"/>
      <c r="AP41" s="1150"/>
      <c r="AQ41" s="1148"/>
      <c r="AR41" s="1152"/>
      <c r="AS41" s="1150"/>
      <c r="AT41" s="1148"/>
      <c r="AU41" s="1148"/>
      <c r="AV41" s="1150"/>
      <c r="AW41" s="1148"/>
      <c r="AX41" s="1148"/>
      <c r="AY41" s="1150"/>
      <c r="AZ41" s="1148"/>
      <c r="BA41" s="1148"/>
      <c r="BB41" s="1150"/>
      <c r="BC41" s="1148"/>
      <c r="BD41" s="1152"/>
      <c r="BE41" s="1150"/>
      <c r="BF41" s="1148"/>
      <c r="BG41" s="1148"/>
      <c r="BH41" s="1150"/>
      <c r="BI41" s="1148"/>
      <c r="BJ41" s="1148"/>
      <c r="BK41" s="1150"/>
      <c r="BL41" s="1148"/>
      <c r="BM41" s="1148"/>
      <c r="BN41" s="1150"/>
      <c r="BO41" s="1148"/>
      <c r="BP41" s="1152"/>
      <c r="BQ41" s="1150"/>
      <c r="BR41" s="1148"/>
      <c r="BS41" s="1148"/>
      <c r="BT41" s="1150"/>
      <c r="BU41" s="1148"/>
      <c r="BV41" s="1148"/>
      <c r="BW41" s="1150"/>
      <c r="BX41" s="1148"/>
      <c r="BY41" s="1148"/>
      <c r="BZ41" s="1150"/>
      <c r="CA41" s="1148"/>
      <c r="CB41" s="1152"/>
    </row>
    <row r="42" spans="1:80" ht="13.5" customHeight="1" x14ac:dyDescent="0.25">
      <c r="A42" s="1153" t="s">
        <v>227</v>
      </c>
      <c r="B42" s="1128" t="s">
        <v>26</v>
      </c>
      <c r="C42" s="264" t="s">
        <v>477</v>
      </c>
      <c r="D42" s="265" t="s">
        <v>478</v>
      </c>
      <c r="E42" s="266"/>
      <c r="F42" s="267"/>
      <c r="G42" s="267"/>
      <c r="H42" s="268"/>
      <c r="I42" s="269">
        <v>4</v>
      </c>
      <c r="J42" s="270" t="s">
        <v>479</v>
      </c>
      <c r="K42" s="271" t="s">
        <v>480</v>
      </c>
      <c r="L42" s="269">
        <v>5</v>
      </c>
      <c r="M42" s="270" t="s">
        <v>481</v>
      </c>
      <c r="N42" s="271" t="s">
        <v>480</v>
      </c>
      <c r="O42" s="269">
        <v>5</v>
      </c>
      <c r="P42" s="270" t="s">
        <v>482</v>
      </c>
      <c r="Q42" s="271" t="s">
        <v>480</v>
      </c>
      <c r="R42" s="269">
        <v>5</v>
      </c>
      <c r="S42" s="270" t="s">
        <v>483</v>
      </c>
      <c r="T42" s="271" t="s">
        <v>480</v>
      </c>
      <c r="U42" s="269">
        <v>5</v>
      </c>
      <c r="V42" s="270" t="s">
        <v>484</v>
      </c>
      <c r="W42" s="271" t="s">
        <v>480</v>
      </c>
      <c r="X42" s="269">
        <v>5</v>
      </c>
      <c r="Y42" s="270" t="s">
        <v>485</v>
      </c>
      <c r="Z42" s="271" t="s">
        <v>480</v>
      </c>
      <c r="AA42" s="269">
        <v>8</v>
      </c>
      <c r="AB42" s="270" t="s">
        <v>486</v>
      </c>
      <c r="AC42" s="271" t="s">
        <v>487</v>
      </c>
      <c r="AD42" s="272">
        <v>8</v>
      </c>
      <c r="AE42" s="270" t="s">
        <v>488</v>
      </c>
      <c r="AF42" s="271" t="s">
        <v>487</v>
      </c>
      <c r="AG42" s="269">
        <v>12</v>
      </c>
      <c r="AH42" s="270" t="s">
        <v>489</v>
      </c>
      <c r="AI42" s="271" t="s">
        <v>490</v>
      </c>
      <c r="AJ42" s="273">
        <v>8</v>
      </c>
      <c r="AK42" s="274" t="s">
        <v>491</v>
      </c>
      <c r="AL42" s="275" t="s">
        <v>490</v>
      </c>
      <c r="AM42" s="273">
        <v>8</v>
      </c>
      <c r="AN42" s="274" t="s">
        <v>492</v>
      </c>
      <c r="AO42" s="275" t="s">
        <v>493</v>
      </c>
      <c r="AP42" s="273">
        <v>8</v>
      </c>
      <c r="AQ42" s="274" t="s">
        <v>494</v>
      </c>
      <c r="AR42" s="275" t="s">
        <v>493</v>
      </c>
      <c r="AS42" s="273">
        <v>12</v>
      </c>
      <c r="AT42" s="274" t="s">
        <v>495</v>
      </c>
      <c r="AU42" s="275" t="s">
        <v>496</v>
      </c>
      <c r="AV42" s="273">
        <v>12</v>
      </c>
      <c r="AW42" s="274" t="s">
        <v>497</v>
      </c>
      <c r="AX42" s="275" t="s">
        <v>496</v>
      </c>
      <c r="AY42" s="273">
        <v>12</v>
      </c>
      <c r="AZ42" s="274" t="s">
        <v>498</v>
      </c>
      <c r="BA42" s="275" t="s">
        <v>499</v>
      </c>
      <c r="BB42" s="273">
        <v>8</v>
      </c>
      <c r="BC42" s="274" t="s">
        <v>500</v>
      </c>
      <c r="BD42" s="275" t="s">
        <v>501</v>
      </c>
      <c r="BE42" s="273">
        <v>8</v>
      </c>
      <c r="BF42" s="274" t="s">
        <v>502</v>
      </c>
      <c r="BG42" s="275" t="s">
        <v>501</v>
      </c>
      <c r="BH42" s="273">
        <v>1</v>
      </c>
      <c r="BI42" s="274" t="s">
        <v>503</v>
      </c>
      <c r="BJ42" s="275" t="s">
        <v>504</v>
      </c>
      <c r="BK42" s="273">
        <v>7</v>
      </c>
      <c r="BL42" s="274" t="s">
        <v>505</v>
      </c>
      <c r="BM42" s="275" t="s">
        <v>504</v>
      </c>
      <c r="BN42" s="273">
        <v>6</v>
      </c>
      <c r="BO42" s="274" t="s">
        <v>506</v>
      </c>
      <c r="BP42" s="275" t="s">
        <v>504</v>
      </c>
      <c r="BQ42" s="273">
        <v>5</v>
      </c>
      <c r="BR42" s="274" t="s">
        <v>507</v>
      </c>
      <c r="BS42" s="275" t="s">
        <v>504</v>
      </c>
      <c r="BT42" s="273">
        <v>5</v>
      </c>
      <c r="BU42" s="274" t="s">
        <v>508</v>
      </c>
      <c r="BV42" s="275" t="s">
        <v>504</v>
      </c>
      <c r="BW42" s="269">
        <v>5</v>
      </c>
      <c r="BX42" s="274" t="s">
        <v>509</v>
      </c>
      <c r="BY42" s="275" t="s">
        <v>504</v>
      </c>
      <c r="BZ42" s="272">
        <v>5</v>
      </c>
      <c r="CA42" s="274" t="s">
        <v>510</v>
      </c>
      <c r="CB42" s="275" t="s">
        <v>504</v>
      </c>
    </row>
    <row r="43" spans="1:80" ht="13.5" customHeight="1" x14ac:dyDescent="0.25">
      <c r="A43" s="1127"/>
      <c r="B43" s="1129"/>
      <c r="C43" s="276" t="s">
        <v>511</v>
      </c>
      <c r="D43" s="277" t="s">
        <v>512</v>
      </c>
      <c r="E43" s="278"/>
      <c r="F43" s="279"/>
      <c r="G43" s="279"/>
      <c r="H43" s="280"/>
      <c r="I43" s="281" t="s">
        <v>513</v>
      </c>
      <c r="J43" s="282" t="s">
        <v>514</v>
      </c>
      <c r="K43" s="283" t="s">
        <v>515</v>
      </c>
      <c r="L43" s="284">
        <v>83</v>
      </c>
      <c r="M43" s="282" t="s">
        <v>516</v>
      </c>
      <c r="N43" s="283" t="s">
        <v>517</v>
      </c>
      <c r="O43" s="284">
        <v>79</v>
      </c>
      <c r="P43" s="282" t="s">
        <v>518</v>
      </c>
      <c r="Q43" s="283" t="s">
        <v>519</v>
      </c>
      <c r="R43" s="285">
        <v>86</v>
      </c>
      <c r="S43" s="282" t="s">
        <v>520</v>
      </c>
      <c r="T43" s="283" t="s">
        <v>521</v>
      </c>
      <c r="U43" s="284">
        <v>90</v>
      </c>
      <c r="V43" s="282" t="s">
        <v>522</v>
      </c>
      <c r="W43" s="283" t="s">
        <v>523</v>
      </c>
      <c r="X43" s="284">
        <v>106</v>
      </c>
      <c r="Y43" s="282" t="s">
        <v>524</v>
      </c>
      <c r="Z43" s="283" t="s">
        <v>525</v>
      </c>
      <c r="AA43" s="284">
        <v>151</v>
      </c>
      <c r="AB43" s="282" t="s">
        <v>526</v>
      </c>
      <c r="AC43" s="283" t="s">
        <v>527</v>
      </c>
      <c r="AD43" s="285">
        <v>158</v>
      </c>
      <c r="AE43" s="282" t="s">
        <v>528</v>
      </c>
      <c r="AF43" s="283" t="s">
        <v>529</v>
      </c>
      <c r="AG43" s="284">
        <v>156</v>
      </c>
      <c r="AH43" s="282" t="s">
        <v>530</v>
      </c>
      <c r="AI43" s="283" t="s">
        <v>531</v>
      </c>
      <c r="AJ43" s="286">
        <v>151</v>
      </c>
      <c r="AK43" s="287" t="s">
        <v>532</v>
      </c>
      <c r="AL43" s="288" t="s">
        <v>533</v>
      </c>
      <c r="AM43" s="284">
        <v>164</v>
      </c>
      <c r="AN43" s="287" t="s">
        <v>534</v>
      </c>
      <c r="AO43" s="288" t="s">
        <v>535</v>
      </c>
      <c r="AP43" s="285">
        <v>150</v>
      </c>
      <c r="AQ43" s="287" t="s">
        <v>536</v>
      </c>
      <c r="AR43" s="288" t="s">
        <v>537</v>
      </c>
      <c r="AS43" s="284">
        <v>150</v>
      </c>
      <c r="AT43" s="287" t="s">
        <v>538</v>
      </c>
      <c r="AU43" s="288" t="s">
        <v>539</v>
      </c>
      <c r="AV43" s="284">
        <v>151</v>
      </c>
      <c r="AW43" s="287" t="s">
        <v>540</v>
      </c>
      <c r="AX43" s="288" t="s">
        <v>541</v>
      </c>
      <c r="AY43" s="284">
        <v>163</v>
      </c>
      <c r="AZ43" s="287" t="s">
        <v>542</v>
      </c>
      <c r="BA43" s="288" t="s">
        <v>543</v>
      </c>
      <c r="BB43" s="285">
        <v>167</v>
      </c>
      <c r="BC43" s="287" t="s">
        <v>544</v>
      </c>
      <c r="BD43" s="288" t="s">
        <v>545</v>
      </c>
      <c r="BE43" s="284">
        <v>160</v>
      </c>
      <c r="BF43" s="287" t="s">
        <v>546</v>
      </c>
      <c r="BG43" s="288" t="s">
        <v>547</v>
      </c>
      <c r="BH43" s="284">
        <v>164</v>
      </c>
      <c r="BI43" s="287" t="s">
        <v>548</v>
      </c>
      <c r="BJ43" s="288" t="s">
        <v>549</v>
      </c>
      <c r="BK43" s="284">
        <v>147</v>
      </c>
      <c r="BL43" s="287" t="s">
        <v>550</v>
      </c>
      <c r="BM43" s="288" t="s">
        <v>551</v>
      </c>
      <c r="BN43" s="285">
        <v>140</v>
      </c>
      <c r="BO43" s="287" t="s">
        <v>552</v>
      </c>
      <c r="BP43" s="288" t="s">
        <v>553</v>
      </c>
      <c r="BQ43" s="284">
        <v>128</v>
      </c>
      <c r="BR43" s="287" t="s">
        <v>554</v>
      </c>
      <c r="BS43" s="288" t="s">
        <v>555</v>
      </c>
      <c r="BT43" s="284">
        <v>113</v>
      </c>
      <c r="BU43" s="287" t="s">
        <v>556</v>
      </c>
      <c r="BV43" s="288" t="s">
        <v>557</v>
      </c>
      <c r="BW43" s="284">
        <v>97</v>
      </c>
      <c r="BX43" s="287" t="s">
        <v>558</v>
      </c>
      <c r="BY43" s="288" t="s">
        <v>559</v>
      </c>
      <c r="BZ43" s="285">
        <v>92</v>
      </c>
      <c r="CA43" s="287" t="s">
        <v>560</v>
      </c>
      <c r="CB43" s="288" t="s">
        <v>561</v>
      </c>
    </row>
    <row r="44" spans="1:80" ht="13.5" customHeight="1" x14ac:dyDescent="0.25">
      <c r="A44" s="1127"/>
      <c r="B44" s="1129"/>
      <c r="C44" s="276" t="s">
        <v>562</v>
      </c>
      <c r="D44" s="277" t="s">
        <v>563</v>
      </c>
      <c r="E44" s="278"/>
      <c r="F44" s="279"/>
      <c r="G44" s="279"/>
      <c r="H44" s="280"/>
      <c r="I44" s="281" t="s">
        <v>564</v>
      </c>
      <c r="J44" s="282" t="s">
        <v>565</v>
      </c>
      <c r="K44" s="283" t="s">
        <v>566</v>
      </c>
      <c r="L44" s="284">
        <v>1</v>
      </c>
      <c r="M44" s="282" t="s">
        <v>567</v>
      </c>
      <c r="N44" s="283" t="s">
        <v>568</v>
      </c>
      <c r="O44" s="284">
        <v>1</v>
      </c>
      <c r="P44" s="282" t="s">
        <v>569</v>
      </c>
      <c r="Q44" s="283" t="s">
        <v>570</v>
      </c>
      <c r="R44" s="285">
        <v>2</v>
      </c>
      <c r="S44" s="282" t="s">
        <v>571</v>
      </c>
      <c r="T44" s="283" t="s">
        <v>572</v>
      </c>
      <c r="U44" s="284">
        <v>2</v>
      </c>
      <c r="V44" s="282" t="s">
        <v>573</v>
      </c>
      <c r="W44" s="283" t="s">
        <v>574</v>
      </c>
      <c r="X44" s="284">
        <v>2</v>
      </c>
      <c r="Y44" s="282" t="s">
        <v>575</v>
      </c>
      <c r="Z44" s="283" t="s">
        <v>576</v>
      </c>
      <c r="AA44" s="284">
        <v>5</v>
      </c>
      <c r="AB44" s="282" t="s">
        <v>577</v>
      </c>
      <c r="AC44" s="283" t="s">
        <v>578</v>
      </c>
      <c r="AD44" s="285">
        <v>0</v>
      </c>
      <c r="AE44" s="282" t="s">
        <v>579</v>
      </c>
      <c r="AF44" s="283" t="s">
        <v>580</v>
      </c>
      <c r="AG44" s="284">
        <v>4</v>
      </c>
      <c r="AH44" s="282" t="s">
        <v>581</v>
      </c>
      <c r="AI44" s="283" t="s">
        <v>582</v>
      </c>
      <c r="AJ44" s="286">
        <v>0</v>
      </c>
      <c r="AK44" s="287" t="s">
        <v>583</v>
      </c>
      <c r="AL44" s="288" t="s">
        <v>584</v>
      </c>
      <c r="AM44" s="284">
        <v>0</v>
      </c>
      <c r="AN44" s="287" t="s">
        <v>585</v>
      </c>
      <c r="AO44" s="288" t="s">
        <v>586</v>
      </c>
      <c r="AP44" s="285">
        <v>0</v>
      </c>
      <c r="AQ44" s="287" t="s">
        <v>587</v>
      </c>
      <c r="AR44" s="288" t="s">
        <v>588</v>
      </c>
      <c r="AS44" s="284">
        <v>4</v>
      </c>
      <c r="AT44" s="287" t="s">
        <v>589</v>
      </c>
      <c r="AU44" s="288" t="s">
        <v>590</v>
      </c>
      <c r="AV44" s="284">
        <v>0</v>
      </c>
      <c r="AW44" s="287" t="s">
        <v>591</v>
      </c>
      <c r="AX44" s="288" t="s">
        <v>590</v>
      </c>
      <c r="AY44" s="284">
        <v>6</v>
      </c>
      <c r="AZ44" s="287" t="s">
        <v>592</v>
      </c>
      <c r="BA44" s="288" t="s">
        <v>593</v>
      </c>
      <c r="BB44" s="285">
        <v>6</v>
      </c>
      <c r="BC44" s="287" t="s">
        <v>594</v>
      </c>
      <c r="BD44" s="288" t="s">
        <v>595</v>
      </c>
      <c r="BE44" s="284">
        <v>6</v>
      </c>
      <c r="BF44" s="287" t="s">
        <v>596</v>
      </c>
      <c r="BG44" s="288" t="s">
        <v>597</v>
      </c>
      <c r="BH44" s="284">
        <v>1</v>
      </c>
      <c r="BI44" s="287" t="s">
        <v>598</v>
      </c>
      <c r="BJ44" s="288" t="s">
        <v>599</v>
      </c>
      <c r="BK44" s="284">
        <v>1</v>
      </c>
      <c r="BL44" s="287" t="s">
        <v>600</v>
      </c>
      <c r="BM44" s="288" t="s">
        <v>601</v>
      </c>
      <c r="BN44" s="285">
        <v>7</v>
      </c>
      <c r="BO44" s="287" t="s">
        <v>602</v>
      </c>
      <c r="BP44" s="288" t="s">
        <v>603</v>
      </c>
      <c r="BQ44" s="284">
        <v>6</v>
      </c>
      <c r="BR44" s="287" t="s">
        <v>604</v>
      </c>
      <c r="BS44" s="288" t="s">
        <v>605</v>
      </c>
      <c r="BT44" s="284">
        <v>6</v>
      </c>
      <c r="BU44" s="287" t="s">
        <v>606</v>
      </c>
      <c r="BV44" s="288" t="s">
        <v>607</v>
      </c>
      <c r="BW44" s="284">
        <v>1.4</v>
      </c>
      <c r="BX44" s="287" t="s">
        <v>608</v>
      </c>
      <c r="BY44" s="288" t="s">
        <v>609</v>
      </c>
      <c r="BZ44" s="285">
        <v>3</v>
      </c>
      <c r="CA44" s="287" t="s">
        <v>610</v>
      </c>
      <c r="CB44" s="288" t="s">
        <v>609</v>
      </c>
    </row>
    <row r="45" spans="1:80" ht="13.5" customHeight="1" x14ac:dyDescent="0.25">
      <c r="A45" s="1127"/>
      <c r="B45" s="1129"/>
      <c r="C45" s="276" t="s">
        <v>611</v>
      </c>
      <c r="D45" s="277" t="s">
        <v>612</v>
      </c>
      <c r="E45" s="278"/>
      <c r="F45" s="279"/>
      <c r="G45" s="279"/>
      <c r="H45" s="280"/>
      <c r="I45" s="281" t="s">
        <v>613</v>
      </c>
      <c r="J45" s="282" t="s">
        <v>614</v>
      </c>
      <c r="K45" s="283" t="s">
        <v>615</v>
      </c>
      <c r="L45" s="284">
        <v>16</v>
      </c>
      <c r="M45" s="282" t="s">
        <v>616</v>
      </c>
      <c r="N45" s="283" t="s">
        <v>617</v>
      </c>
      <c r="O45" s="284">
        <v>14</v>
      </c>
      <c r="P45" s="282" t="s">
        <v>618</v>
      </c>
      <c r="Q45" s="283" t="s">
        <v>619</v>
      </c>
      <c r="R45" s="285">
        <v>14</v>
      </c>
      <c r="S45" s="282" t="s">
        <v>620</v>
      </c>
      <c r="T45" s="283" t="s">
        <v>621</v>
      </c>
      <c r="U45" s="284">
        <v>14</v>
      </c>
      <c r="V45" s="282" t="s">
        <v>622</v>
      </c>
      <c r="W45" s="283" t="s">
        <v>623</v>
      </c>
      <c r="X45" s="284">
        <v>18</v>
      </c>
      <c r="Y45" s="282" t="s">
        <v>624</v>
      </c>
      <c r="Z45" s="283" t="s">
        <v>625</v>
      </c>
      <c r="AA45" s="284">
        <v>28</v>
      </c>
      <c r="AB45" s="282" t="s">
        <v>626</v>
      </c>
      <c r="AC45" s="283" t="s">
        <v>627</v>
      </c>
      <c r="AD45" s="285">
        <v>51</v>
      </c>
      <c r="AE45" s="282" t="s">
        <v>628</v>
      </c>
      <c r="AF45" s="283" t="s">
        <v>629</v>
      </c>
      <c r="AG45" s="284">
        <v>54</v>
      </c>
      <c r="AH45" s="282" t="s">
        <v>630</v>
      </c>
      <c r="AI45" s="283" t="s">
        <v>631</v>
      </c>
      <c r="AJ45" s="286">
        <v>53</v>
      </c>
      <c r="AK45" s="287" t="s">
        <v>632</v>
      </c>
      <c r="AL45" s="288" t="s">
        <v>633</v>
      </c>
      <c r="AM45" s="284">
        <v>51</v>
      </c>
      <c r="AN45" s="287" t="s">
        <v>634</v>
      </c>
      <c r="AO45" s="288" t="s">
        <v>635</v>
      </c>
      <c r="AP45" s="285">
        <v>52</v>
      </c>
      <c r="AQ45" s="287" t="s">
        <v>636</v>
      </c>
      <c r="AR45" s="288" t="s">
        <v>637</v>
      </c>
      <c r="AS45" s="284">
        <v>55</v>
      </c>
      <c r="AT45" s="287" t="s">
        <v>638</v>
      </c>
      <c r="AU45" s="288" t="s">
        <v>639</v>
      </c>
      <c r="AV45" s="284">
        <v>56</v>
      </c>
      <c r="AW45" s="287" t="s">
        <v>640</v>
      </c>
      <c r="AX45" s="288" t="s">
        <v>641</v>
      </c>
      <c r="AY45" s="284">
        <v>59</v>
      </c>
      <c r="AZ45" s="287" t="s">
        <v>642</v>
      </c>
      <c r="BA45" s="288" t="s">
        <v>643</v>
      </c>
      <c r="BB45" s="285">
        <v>54</v>
      </c>
      <c r="BC45" s="287" t="s">
        <v>644</v>
      </c>
      <c r="BD45" s="288" t="s">
        <v>645</v>
      </c>
      <c r="BE45" s="284">
        <v>55</v>
      </c>
      <c r="BF45" s="287" t="s">
        <v>646</v>
      </c>
      <c r="BG45" s="288" t="s">
        <v>647</v>
      </c>
      <c r="BH45" s="284">
        <v>52</v>
      </c>
      <c r="BI45" s="287" t="s">
        <v>648</v>
      </c>
      <c r="BJ45" s="288" t="s">
        <v>649</v>
      </c>
      <c r="BK45" s="284">
        <v>29</v>
      </c>
      <c r="BL45" s="287" t="s">
        <v>650</v>
      </c>
      <c r="BM45" s="288" t="s">
        <v>651</v>
      </c>
      <c r="BN45" s="285">
        <v>23</v>
      </c>
      <c r="BO45" s="287" t="s">
        <v>652</v>
      </c>
      <c r="BP45" s="288" t="s">
        <v>653</v>
      </c>
      <c r="BQ45" s="284">
        <v>20</v>
      </c>
      <c r="BR45" s="287" t="s">
        <v>654</v>
      </c>
      <c r="BS45" s="288" t="s">
        <v>655</v>
      </c>
      <c r="BT45" s="284">
        <v>18</v>
      </c>
      <c r="BU45" s="287" t="s">
        <v>656</v>
      </c>
      <c r="BV45" s="288" t="s">
        <v>657</v>
      </c>
      <c r="BW45" s="284">
        <v>16</v>
      </c>
      <c r="BX45" s="287" t="s">
        <v>658</v>
      </c>
      <c r="BY45" s="288" t="s">
        <v>659</v>
      </c>
      <c r="BZ45" s="285">
        <v>16</v>
      </c>
      <c r="CA45" s="287" t="s">
        <v>660</v>
      </c>
      <c r="CB45" s="288" t="s">
        <v>661</v>
      </c>
    </row>
    <row r="46" spans="1:80" ht="13.5" customHeight="1" x14ac:dyDescent="0.25">
      <c r="A46" s="1127"/>
      <c r="B46" s="1129"/>
      <c r="C46" s="276" t="s">
        <v>662</v>
      </c>
      <c r="D46" s="277" t="s">
        <v>663</v>
      </c>
      <c r="E46" s="278"/>
      <c r="F46" s="279"/>
      <c r="G46" s="279"/>
      <c r="H46" s="280"/>
      <c r="I46" s="281" t="s">
        <v>664</v>
      </c>
      <c r="J46" s="282" t="s">
        <v>665</v>
      </c>
      <c r="K46" s="283" t="s">
        <v>666</v>
      </c>
      <c r="L46" s="284">
        <v>0</v>
      </c>
      <c r="M46" s="282" t="s">
        <v>665</v>
      </c>
      <c r="N46" s="283" t="s">
        <v>666</v>
      </c>
      <c r="O46" s="284">
        <v>0</v>
      </c>
      <c r="P46" s="282" t="s">
        <v>665</v>
      </c>
      <c r="Q46" s="283" t="s">
        <v>667</v>
      </c>
      <c r="R46" s="285">
        <v>0</v>
      </c>
      <c r="S46" s="282" t="s">
        <v>665</v>
      </c>
      <c r="T46" s="283" t="s">
        <v>667</v>
      </c>
      <c r="U46" s="284">
        <v>0</v>
      </c>
      <c r="V46" s="282" t="s">
        <v>665</v>
      </c>
      <c r="W46" s="283" t="s">
        <v>668</v>
      </c>
      <c r="X46" s="284">
        <v>0</v>
      </c>
      <c r="Y46" s="282" t="s">
        <v>665</v>
      </c>
      <c r="Z46" s="283" t="s">
        <v>668</v>
      </c>
      <c r="AA46" s="284">
        <v>0</v>
      </c>
      <c r="AB46" s="282" t="s">
        <v>665</v>
      </c>
      <c r="AC46" s="283" t="s">
        <v>669</v>
      </c>
      <c r="AD46" s="285">
        <v>0</v>
      </c>
      <c r="AE46" s="282" t="s">
        <v>665</v>
      </c>
      <c r="AF46" s="283" t="s">
        <v>669</v>
      </c>
      <c r="AG46" s="284">
        <v>0</v>
      </c>
      <c r="AH46" s="282" t="s">
        <v>665</v>
      </c>
      <c r="AI46" s="283" t="s">
        <v>669</v>
      </c>
      <c r="AJ46" s="286">
        <v>0</v>
      </c>
      <c r="AK46" s="287" t="s">
        <v>665</v>
      </c>
      <c r="AL46" s="288" t="s">
        <v>669</v>
      </c>
      <c r="AM46" s="286">
        <v>0</v>
      </c>
      <c r="AN46" s="287" t="s">
        <v>665</v>
      </c>
      <c r="AO46" s="288" t="s">
        <v>670</v>
      </c>
      <c r="AP46" s="286">
        <v>0</v>
      </c>
      <c r="AQ46" s="287" t="s">
        <v>665</v>
      </c>
      <c r="AR46" s="288" t="s">
        <v>670</v>
      </c>
      <c r="AS46" s="286">
        <v>0</v>
      </c>
      <c r="AT46" s="287" t="s">
        <v>665</v>
      </c>
      <c r="AU46" s="288" t="s">
        <v>671</v>
      </c>
      <c r="AV46" s="286">
        <v>0</v>
      </c>
      <c r="AW46" s="287" t="s">
        <v>665</v>
      </c>
      <c r="AX46" s="288" t="s">
        <v>671</v>
      </c>
      <c r="AY46" s="286">
        <v>0</v>
      </c>
      <c r="AZ46" s="287" t="s">
        <v>665</v>
      </c>
      <c r="BA46" s="288" t="s">
        <v>672</v>
      </c>
      <c r="BB46" s="286">
        <v>0</v>
      </c>
      <c r="BC46" s="287" t="s">
        <v>665</v>
      </c>
      <c r="BD46" s="288" t="s">
        <v>672</v>
      </c>
      <c r="BE46" s="286">
        <v>0</v>
      </c>
      <c r="BF46" s="287" t="s">
        <v>665</v>
      </c>
      <c r="BG46" s="288" t="s">
        <v>672</v>
      </c>
      <c r="BH46" s="286">
        <v>0</v>
      </c>
      <c r="BI46" s="287" t="s">
        <v>665</v>
      </c>
      <c r="BJ46" s="288" t="s">
        <v>673</v>
      </c>
      <c r="BK46" s="286">
        <v>0.5</v>
      </c>
      <c r="BL46" s="287" t="s">
        <v>665</v>
      </c>
      <c r="BM46" s="288" t="s">
        <v>673</v>
      </c>
      <c r="BN46" s="286">
        <v>0.5</v>
      </c>
      <c r="BO46" s="287" t="s">
        <v>665</v>
      </c>
      <c r="BP46" s="288" t="s">
        <v>674</v>
      </c>
      <c r="BQ46" s="286">
        <v>0.5</v>
      </c>
      <c r="BR46" s="287" t="s">
        <v>665</v>
      </c>
      <c r="BS46" s="288" t="s">
        <v>674</v>
      </c>
      <c r="BT46" s="286">
        <v>0.6</v>
      </c>
      <c r="BU46" s="287" t="s">
        <v>665</v>
      </c>
      <c r="BV46" s="288" t="s">
        <v>675</v>
      </c>
      <c r="BW46" s="284">
        <v>0.6</v>
      </c>
      <c r="BX46" s="287" t="s">
        <v>665</v>
      </c>
      <c r="BY46" s="288" t="s">
        <v>675</v>
      </c>
      <c r="BZ46" s="285">
        <v>0.6</v>
      </c>
      <c r="CA46" s="287" t="s">
        <v>665</v>
      </c>
      <c r="CB46" s="288" t="s">
        <v>675</v>
      </c>
    </row>
    <row r="47" spans="1:80" ht="13.5" customHeight="1" x14ac:dyDescent="0.25">
      <c r="A47" s="1127"/>
      <c r="B47" s="1129"/>
      <c r="C47" s="276" t="s">
        <v>676</v>
      </c>
      <c r="D47" s="277" t="s">
        <v>677</v>
      </c>
      <c r="E47" s="278"/>
      <c r="F47" s="279"/>
      <c r="G47" s="279"/>
      <c r="H47" s="280"/>
      <c r="I47" s="281" t="s">
        <v>613</v>
      </c>
      <c r="J47" s="282" t="s">
        <v>678</v>
      </c>
      <c r="K47" s="283" t="s">
        <v>679</v>
      </c>
      <c r="L47" s="284">
        <v>15</v>
      </c>
      <c r="M47" s="282" t="s">
        <v>680</v>
      </c>
      <c r="N47" s="283" t="s">
        <v>679</v>
      </c>
      <c r="O47" s="284">
        <v>15</v>
      </c>
      <c r="P47" s="282" t="s">
        <v>681</v>
      </c>
      <c r="Q47" s="283" t="s">
        <v>679</v>
      </c>
      <c r="R47" s="285">
        <v>15</v>
      </c>
      <c r="S47" s="282" t="s">
        <v>682</v>
      </c>
      <c r="T47" s="283" t="s">
        <v>679</v>
      </c>
      <c r="U47" s="284">
        <v>15</v>
      </c>
      <c r="V47" s="282" t="s">
        <v>683</v>
      </c>
      <c r="W47" s="283" t="s">
        <v>679</v>
      </c>
      <c r="X47" s="284">
        <v>15</v>
      </c>
      <c r="Y47" s="282" t="s">
        <v>684</v>
      </c>
      <c r="Z47" s="283" t="s">
        <v>679</v>
      </c>
      <c r="AA47" s="284">
        <v>17</v>
      </c>
      <c r="AB47" s="282" t="s">
        <v>685</v>
      </c>
      <c r="AC47" s="283" t="s">
        <v>686</v>
      </c>
      <c r="AD47" s="285">
        <v>16</v>
      </c>
      <c r="AE47" s="282" t="s">
        <v>687</v>
      </c>
      <c r="AF47" s="283" t="s">
        <v>688</v>
      </c>
      <c r="AG47" s="284">
        <v>16</v>
      </c>
      <c r="AH47" s="282" t="s">
        <v>689</v>
      </c>
      <c r="AI47" s="283" t="s">
        <v>688</v>
      </c>
      <c r="AJ47" s="286">
        <v>16</v>
      </c>
      <c r="AK47" s="287" t="s">
        <v>690</v>
      </c>
      <c r="AL47" s="288" t="s">
        <v>691</v>
      </c>
      <c r="AM47" s="284">
        <v>16</v>
      </c>
      <c r="AN47" s="287" t="s">
        <v>692</v>
      </c>
      <c r="AO47" s="288" t="s">
        <v>693</v>
      </c>
      <c r="AP47" s="285">
        <v>16</v>
      </c>
      <c r="AQ47" s="287" t="s">
        <v>694</v>
      </c>
      <c r="AR47" s="288" t="s">
        <v>695</v>
      </c>
      <c r="AS47" s="284">
        <v>16</v>
      </c>
      <c r="AT47" s="287" t="s">
        <v>696</v>
      </c>
      <c r="AU47" s="288" t="s">
        <v>697</v>
      </c>
      <c r="AV47" s="284">
        <v>14</v>
      </c>
      <c r="AW47" s="287" t="s">
        <v>698</v>
      </c>
      <c r="AX47" s="288" t="s">
        <v>699</v>
      </c>
      <c r="AY47" s="284">
        <v>14</v>
      </c>
      <c r="AZ47" s="287" t="s">
        <v>700</v>
      </c>
      <c r="BA47" s="288" t="s">
        <v>699</v>
      </c>
      <c r="BB47" s="285">
        <v>16</v>
      </c>
      <c r="BC47" s="287" t="s">
        <v>701</v>
      </c>
      <c r="BD47" s="288" t="s">
        <v>702</v>
      </c>
      <c r="BE47" s="284">
        <v>16</v>
      </c>
      <c r="BF47" s="287" t="s">
        <v>703</v>
      </c>
      <c r="BG47" s="288" t="s">
        <v>704</v>
      </c>
      <c r="BH47" s="284">
        <v>16</v>
      </c>
      <c r="BI47" s="287" t="s">
        <v>705</v>
      </c>
      <c r="BJ47" s="288" t="s">
        <v>706</v>
      </c>
      <c r="BK47" s="284">
        <v>18</v>
      </c>
      <c r="BL47" s="287" t="s">
        <v>707</v>
      </c>
      <c r="BM47" s="288" t="s">
        <v>708</v>
      </c>
      <c r="BN47" s="285">
        <v>18</v>
      </c>
      <c r="BO47" s="287" t="s">
        <v>709</v>
      </c>
      <c r="BP47" s="288" t="s">
        <v>710</v>
      </c>
      <c r="BQ47" s="284">
        <v>17</v>
      </c>
      <c r="BR47" s="287" t="s">
        <v>711</v>
      </c>
      <c r="BS47" s="288" t="s">
        <v>712</v>
      </c>
      <c r="BT47" s="284">
        <v>17</v>
      </c>
      <c r="BU47" s="287" t="s">
        <v>713</v>
      </c>
      <c r="BV47" s="288" t="s">
        <v>714</v>
      </c>
      <c r="BW47" s="284">
        <v>16</v>
      </c>
      <c r="BX47" s="287" t="s">
        <v>715</v>
      </c>
      <c r="BY47" s="288" t="s">
        <v>716</v>
      </c>
      <c r="BZ47" s="285">
        <v>16</v>
      </c>
      <c r="CA47" s="287" t="s">
        <v>717</v>
      </c>
      <c r="CB47" s="288" t="s">
        <v>716</v>
      </c>
    </row>
    <row r="48" spans="1:80" ht="13.5" customHeight="1" x14ac:dyDescent="0.25">
      <c r="A48" s="1127"/>
      <c r="B48" s="1129"/>
      <c r="C48" s="276" t="s">
        <v>718</v>
      </c>
      <c r="D48" s="277" t="s">
        <v>719</v>
      </c>
      <c r="E48" s="278"/>
      <c r="F48" s="279"/>
      <c r="G48" s="279"/>
      <c r="H48" s="280"/>
      <c r="I48" s="281" t="s">
        <v>720</v>
      </c>
      <c r="J48" s="282" t="s">
        <v>721</v>
      </c>
      <c r="K48" s="283" t="s">
        <v>722</v>
      </c>
      <c r="L48" s="284">
        <v>39</v>
      </c>
      <c r="M48" s="282" t="s">
        <v>723</v>
      </c>
      <c r="N48" s="283" t="s">
        <v>724</v>
      </c>
      <c r="O48" s="284">
        <v>36</v>
      </c>
      <c r="P48" s="282" t="s">
        <v>725</v>
      </c>
      <c r="Q48" s="283" t="s">
        <v>726</v>
      </c>
      <c r="R48" s="285">
        <v>38</v>
      </c>
      <c r="S48" s="282" t="s">
        <v>727</v>
      </c>
      <c r="T48" s="283" t="s">
        <v>728</v>
      </c>
      <c r="U48" s="284">
        <v>43</v>
      </c>
      <c r="V48" s="282" t="s">
        <v>729</v>
      </c>
      <c r="W48" s="283" t="s">
        <v>730</v>
      </c>
      <c r="X48" s="284">
        <v>51</v>
      </c>
      <c r="Y48" s="282" t="s">
        <v>731</v>
      </c>
      <c r="Z48" s="283" t="s">
        <v>732</v>
      </c>
      <c r="AA48" s="284">
        <v>50</v>
      </c>
      <c r="AB48" s="282" t="s">
        <v>733</v>
      </c>
      <c r="AC48" s="283" t="s">
        <v>734</v>
      </c>
      <c r="AD48" s="285">
        <v>50</v>
      </c>
      <c r="AE48" s="282" t="s">
        <v>735</v>
      </c>
      <c r="AF48" s="283" t="s">
        <v>736</v>
      </c>
      <c r="AG48" s="284">
        <v>50</v>
      </c>
      <c r="AH48" s="282" t="s">
        <v>737</v>
      </c>
      <c r="AI48" s="283" t="s">
        <v>738</v>
      </c>
      <c r="AJ48" s="286">
        <v>55</v>
      </c>
      <c r="AK48" s="287" t="s">
        <v>739</v>
      </c>
      <c r="AL48" s="288" t="s">
        <v>740</v>
      </c>
      <c r="AM48" s="284">
        <v>58</v>
      </c>
      <c r="AN48" s="287" t="s">
        <v>741</v>
      </c>
      <c r="AO48" s="288" t="s">
        <v>742</v>
      </c>
      <c r="AP48" s="285">
        <v>59</v>
      </c>
      <c r="AQ48" s="287" t="s">
        <v>743</v>
      </c>
      <c r="AR48" s="288" t="s">
        <v>742</v>
      </c>
      <c r="AS48" s="284">
        <v>59</v>
      </c>
      <c r="AT48" s="287" t="s">
        <v>744</v>
      </c>
      <c r="AU48" s="288" t="s">
        <v>745</v>
      </c>
      <c r="AV48" s="284">
        <v>61</v>
      </c>
      <c r="AW48" s="287" t="s">
        <v>746</v>
      </c>
      <c r="AX48" s="288" t="s">
        <v>747</v>
      </c>
      <c r="AY48" s="284">
        <v>64</v>
      </c>
      <c r="AZ48" s="287" t="s">
        <v>748</v>
      </c>
      <c r="BA48" s="288" t="s">
        <v>749</v>
      </c>
      <c r="BB48" s="285">
        <v>67</v>
      </c>
      <c r="BC48" s="287" t="s">
        <v>750</v>
      </c>
      <c r="BD48" s="288" t="s">
        <v>751</v>
      </c>
      <c r="BE48" s="284">
        <v>68</v>
      </c>
      <c r="BF48" s="287" t="s">
        <v>752</v>
      </c>
      <c r="BG48" s="288" t="s">
        <v>753</v>
      </c>
      <c r="BH48" s="284">
        <v>70</v>
      </c>
      <c r="BI48" s="287" t="s">
        <v>754</v>
      </c>
      <c r="BJ48" s="288" t="s">
        <v>755</v>
      </c>
      <c r="BK48" s="284">
        <v>65</v>
      </c>
      <c r="BL48" s="287" t="s">
        <v>756</v>
      </c>
      <c r="BM48" s="288" t="s">
        <v>757</v>
      </c>
      <c r="BN48" s="285">
        <v>70</v>
      </c>
      <c r="BO48" s="287" t="s">
        <v>758</v>
      </c>
      <c r="BP48" s="288" t="s">
        <v>759</v>
      </c>
      <c r="BQ48" s="284">
        <v>64</v>
      </c>
      <c r="BR48" s="287" t="s">
        <v>760</v>
      </c>
      <c r="BS48" s="288" t="s">
        <v>761</v>
      </c>
      <c r="BT48" s="284">
        <v>56</v>
      </c>
      <c r="BU48" s="287" t="s">
        <v>762</v>
      </c>
      <c r="BV48" s="288" t="s">
        <v>763</v>
      </c>
      <c r="BW48" s="284">
        <v>46</v>
      </c>
      <c r="BX48" s="287" t="s">
        <v>764</v>
      </c>
      <c r="BY48" s="288" t="s">
        <v>765</v>
      </c>
      <c r="BZ48" s="285">
        <v>42</v>
      </c>
      <c r="CA48" s="287" t="s">
        <v>766</v>
      </c>
      <c r="CB48" s="288" t="s">
        <v>767</v>
      </c>
    </row>
    <row r="49" spans="1:80" ht="13.5" customHeight="1" x14ac:dyDescent="0.25">
      <c r="A49" s="1127"/>
      <c r="B49" s="1129"/>
      <c r="C49" s="276" t="s">
        <v>768</v>
      </c>
      <c r="D49" s="277" t="s">
        <v>769</v>
      </c>
      <c r="E49" s="278"/>
      <c r="F49" s="279"/>
      <c r="G49" s="279"/>
      <c r="H49" s="280"/>
      <c r="I49" s="281" t="s">
        <v>770</v>
      </c>
      <c r="J49" s="282" t="s">
        <v>771</v>
      </c>
      <c r="K49" s="283" t="s">
        <v>772</v>
      </c>
      <c r="L49" s="284">
        <v>11</v>
      </c>
      <c r="M49" s="282" t="s">
        <v>773</v>
      </c>
      <c r="N49" s="283" t="s">
        <v>774</v>
      </c>
      <c r="O49" s="284">
        <v>11</v>
      </c>
      <c r="P49" s="282" t="s">
        <v>775</v>
      </c>
      <c r="Q49" s="283" t="s">
        <v>776</v>
      </c>
      <c r="R49" s="285">
        <v>13</v>
      </c>
      <c r="S49" s="282" t="s">
        <v>777</v>
      </c>
      <c r="T49" s="283" t="s">
        <v>778</v>
      </c>
      <c r="U49" s="284">
        <v>15</v>
      </c>
      <c r="V49" s="282" t="s">
        <v>779</v>
      </c>
      <c r="W49" s="283" t="s">
        <v>780</v>
      </c>
      <c r="X49" s="284">
        <v>19</v>
      </c>
      <c r="Y49" s="282" t="s">
        <v>781</v>
      </c>
      <c r="Z49" s="283" t="s">
        <v>782</v>
      </c>
      <c r="AA49" s="284">
        <v>38</v>
      </c>
      <c r="AB49" s="282" t="s">
        <v>783</v>
      </c>
      <c r="AC49" s="283" t="s">
        <v>784</v>
      </c>
      <c r="AD49" s="285">
        <v>38</v>
      </c>
      <c r="AE49" s="282" t="s">
        <v>785</v>
      </c>
      <c r="AF49" s="283" t="s">
        <v>786</v>
      </c>
      <c r="AG49" s="284">
        <v>34</v>
      </c>
      <c r="AH49" s="282" t="s">
        <v>787</v>
      </c>
      <c r="AI49" s="283" t="s">
        <v>788</v>
      </c>
      <c r="AJ49" s="286">
        <v>39</v>
      </c>
      <c r="AK49" s="287" t="s">
        <v>789</v>
      </c>
      <c r="AL49" s="288" t="s">
        <v>790</v>
      </c>
      <c r="AM49" s="284">
        <v>42</v>
      </c>
      <c r="AN49" s="287" t="s">
        <v>791</v>
      </c>
      <c r="AO49" s="288" t="s">
        <v>792</v>
      </c>
      <c r="AP49" s="285">
        <v>36</v>
      </c>
      <c r="AQ49" s="287" t="s">
        <v>793</v>
      </c>
      <c r="AR49" s="288" t="s">
        <v>794</v>
      </c>
      <c r="AS49" s="284">
        <v>36</v>
      </c>
      <c r="AT49" s="287" t="s">
        <v>795</v>
      </c>
      <c r="AU49" s="288" t="s">
        <v>796</v>
      </c>
      <c r="AV49" s="284">
        <v>37</v>
      </c>
      <c r="AW49" s="287" t="s">
        <v>797</v>
      </c>
      <c r="AX49" s="288" t="s">
        <v>798</v>
      </c>
      <c r="AY49" s="284">
        <v>36</v>
      </c>
      <c r="AZ49" s="287" t="s">
        <v>799</v>
      </c>
      <c r="BA49" s="288" t="s">
        <v>800</v>
      </c>
      <c r="BB49" s="285">
        <v>33</v>
      </c>
      <c r="BC49" s="287" t="s">
        <v>801</v>
      </c>
      <c r="BD49" s="288" t="s">
        <v>802</v>
      </c>
      <c r="BE49" s="284">
        <v>35</v>
      </c>
      <c r="BF49" s="287" t="s">
        <v>803</v>
      </c>
      <c r="BG49" s="288" t="s">
        <v>804</v>
      </c>
      <c r="BH49" s="284">
        <v>28</v>
      </c>
      <c r="BI49" s="287" t="s">
        <v>805</v>
      </c>
      <c r="BJ49" s="288" t="s">
        <v>806</v>
      </c>
      <c r="BK49" s="284">
        <v>25</v>
      </c>
      <c r="BL49" s="287" t="s">
        <v>807</v>
      </c>
      <c r="BM49" s="288" t="s">
        <v>808</v>
      </c>
      <c r="BN49" s="285">
        <v>25</v>
      </c>
      <c r="BO49" s="287" t="s">
        <v>809</v>
      </c>
      <c r="BP49" s="288" t="s">
        <v>810</v>
      </c>
      <c r="BQ49" s="284">
        <v>21</v>
      </c>
      <c r="BR49" s="287" t="s">
        <v>811</v>
      </c>
      <c r="BS49" s="288" t="s">
        <v>812</v>
      </c>
      <c r="BT49" s="284">
        <v>19</v>
      </c>
      <c r="BU49" s="287" t="s">
        <v>813</v>
      </c>
      <c r="BV49" s="288" t="s">
        <v>796</v>
      </c>
      <c r="BW49" s="284">
        <v>15</v>
      </c>
      <c r="BX49" s="287" t="s">
        <v>814</v>
      </c>
      <c r="BY49" s="288" t="s">
        <v>815</v>
      </c>
      <c r="BZ49" s="285">
        <v>14</v>
      </c>
      <c r="CA49" s="287" t="s">
        <v>816</v>
      </c>
      <c r="CB49" s="288" t="s">
        <v>817</v>
      </c>
    </row>
    <row r="50" spans="1:80" ht="13.5" customHeight="1" x14ac:dyDescent="0.25">
      <c r="A50" s="1127"/>
      <c r="B50" s="1129"/>
      <c r="C50" s="276" t="s">
        <v>818</v>
      </c>
      <c r="D50" s="277" t="s">
        <v>819</v>
      </c>
      <c r="E50" s="278"/>
      <c r="F50" s="279"/>
      <c r="G50" s="279"/>
      <c r="H50" s="280"/>
      <c r="I50" s="281" t="s">
        <v>820</v>
      </c>
      <c r="J50" s="282" t="s">
        <v>821</v>
      </c>
      <c r="K50" s="283" t="s">
        <v>822</v>
      </c>
      <c r="L50" s="284">
        <v>75</v>
      </c>
      <c r="M50" s="282" t="s">
        <v>823</v>
      </c>
      <c r="N50" s="283" t="s">
        <v>824</v>
      </c>
      <c r="O50" s="284">
        <v>75</v>
      </c>
      <c r="P50" s="282" t="s">
        <v>825</v>
      </c>
      <c r="Q50" s="283" t="s">
        <v>826</v>
      </c>
      <c r="R50" s="285">
        <v>77</v>
      </c>
      <c r="S50" s="282" t="s">
        <v>827</v>
      </c>
      <c r="T50" s="283" t="s">
        <v>828</v>
      </c>
      <c r="U50" s="284">
        <v>83</v>
      </c>
      <c r="V50" s="282" t="s">
        <v>829</v>
      </c>
      <c r="W50" s="283" t="s">
        <v>830</v>
      </c>
      <c r="X50" s="284">
        <v>85</v>
      </c>
      <c r="Y50" s="282" t="s">
        <v>831</v>
      </c>
      <c r="Z50" s="283" t="s">
        <v>832</v>
      </c>
      <c r="AA50" s="284">
        <v>96</v>
      </c>
      <c r="AB50" s="282" t="s">
        <v>833</v>
      </c>
      <c r="AC50" s="283" t="s">
        <v>834</v>
      </c>
      <c r="AD50" s="285">
        <v>99</v>
      </c>
      <c r="AE50" s="282" t="s">
        <v>835</v>
      </c>
      <c r="AF50" s="283" t="s">
        <v>836</v>
      </c>
      <c r="AG50" s="284">
        <v>102</v>
      </c>
      <c r="AH50" s="282" t="s">
        <v>837</v>
      </c>
      <c r="AI50" s="283" t="s">
        <v>838</v>
      </c>
      <c r="AJ50" s="286">
        <v>103</v>
      </c>
      <c r="AK50" s="287" t="s">
        <v>839</v>
      </c>
      <c r="AL50" s="288" t="s">
        <v>840</v>
      </c>
      <c r="AM50" s="284">
        <v>103</v>
      </c>
      <c r="AN50" s="287" t="s">
        <v>841</v>
      </c>
      <c r="AO50" s="288" t="s">
        <v>842</v>
      </c>
      <c r="AP50" s="285">
        <v>101</v>
      </c>
      <c r="AQ50" s="287" t="s">
        <v>843</v>
      </c>
      <c r="AR50" s="288" t="s">
        <v>844</v>
      </c>
      <c r="AS50" s="284">
        <v>109</v>
      </c>
      <c r="AT50" s="287" t="s">
        <v>845</v>
      </c>
      <c r="AU50" s="288" t="s">
        <v>846</v>
      </c>
      <c r="AV50" s="284">
        <v>105</v>
      </c>
      <c r="AW50" s="287" t="s">
        <v>847</v>
      </c>
      <c r="AX50" s="288" t="s">
        <v>848</v>
      </c>
      <c r="AY50" s="284">
        <v>113</v>
      </c>
      <c r="AZ50" s="287" t="s">
        <v>849</v>
      </c>
      <c r="BA50" s="288" t="s">
        <v>850</v>
      </c>
      <c r="BB50" s="285">
        <v>109</v>
      </c>
      <c r="BC50" s="287" t="s">
        <v>851</v>
      </c>
      <c r="BD50" s="288" t="s">
        <v>852</v>
      </c>
      <c r="BE50" s="284">
        <v>97</v>
      </c>
      <c r="BF50" s="287" t="s">
        <v>853</v>
      </c>
      <c r="BG50" s="288" t="s">
        <v>854</v>
      </c>
      <c r="BH50" s="284">
        <v>93</v>
      </c>
      <c r="BI50" s="287" t="s">
        <v>855</v>
      </c>
      <c r="BJ50" s="288" t="s">
        <v>856</v>
      </c>
      <c r="BK50" s="284">
        <v>88</v>
      </c>
      <c r="BL50" s="287" t="s">
        <v>857</v>
      </c>
      <c r="BM50" s="288" t="s">
        <v>858</v>
      </c>
      <c r="BN50" s="285">
        <v>87</v>
      </c>
      <c r="BO50" s="287" t="s">
        <v>859</v>
      </c>
      <c r="BP50" s="288" t="s">
        <v>860</v>
      </c>
      <c r="BQ50" s="284">
        <v>84</v>
      </c>
      <c r="BR50" s="287" t="s">
        <v>861</v>
      </c>
      <c r="BS50" s="288" t="s">
        <v>862</v>
      </c>
      <c r="BT50" s="284">
        <v>81</v>
      </c>
      <c r="BU50" s="287" t="s">
        <v>863</v>
      </c>
      <c r="BV50" s="288" t="s">
        <v>864</v>
      </c>
      <c r="BW50" s="284">
        <v>81</v>
      </c>
      <c r="BX50" s="287" t="s">
        <v>865</v>
      </c>
      <c r="BY50" s="288" t="s">
        <v>866</v>
      </c>
      <c r="BZ50" s="285">
        <v>80</v>
      </c>
      <c r="CA50" s="287" t="s">
        <v>867</v>
      </c>
      <c r="CB50" s="288" t="s">
        <v>868</v>
      </c>
    </row>
    <row r="51" spans="1:80" ht="13.5" customHeight="1" x14ac:dyDescent="0.25">
      <c r="A51" s="1127"/>
      <c r="B51" s="1129"/>
      <c r="C51" s="276" t="s">
        <v>869</v>
      </c>
      <c r="D51" s="277" t="s">
        <v>870</v>
      </c>
      <c r="E51" s="278"/>
      <c r="F51" s="279"/>
      <c r="G51" s="279"/>
      <c r="H51" s="280"/>
      <c r="I51" s="289" t="s">
        <v>564</v>
      </c>
      <c r="J51" s="282" t="s">
        <v>871</v>
      </c>
      <c r="K51" s="283" t="s">
        <v>872</v>
      </c>
      <c r="L51" s="284">
        <v>1</v>
      </c>
      <c r="M51" s="282" t="s">
        <v>871</v>
      </c>
      <c r="N51" s="283" t="s">
        <v>872</v>
      </c>
      <c r="O51" s="289">
        <v>1</v>
      </c>
      <c r="P51" s="282" t="s">
        <v>871</v>
      </c>
      <c r="Q51" s="283" t="s">
        <v>873</v>
      </c>
      <c r="R51" s="290">
        <v>1</v>
      </c>
      <c r="S51" s="282" t="s">
        <v>871</v>
      </c>
      <c r="T51" s="283" t="s">
        <v>873</v>
      </c>
      <c r="U51" s="289">
        <v>1</v>
      </c>
      <c r="V51" s="282" t="s">
        <v>871</v>
      </c>
      <c r="W51" s="283" t="s">
        <v>874</v>
      </c>
      <c r="X51" s="289">
        <v>1</v>
      </c>
      <c r="Y51" s="282" t="s">
        <v>871</v>
      </c>
      <c r="Z51" s="283" t="s">
        <v>874</v>
      </c>
      <c r="AA51" s="289">
        <v>0</v>
      </c>
      <c r="AB51" s="282" t="s">
        <v>871</v>
      </c>
      <c r="AC51" s="283" t="s">
        <v>875</v>
      </c>
      <c r="AD51" s="285">
        <v>0</v>
      </c>
      <c r="AE51" s="282" t="s">
        <v>871</v>
      </c>
      <c r="AF51" s="283" t="s">
        <v>875</v>
      </c>
      <c r="AG51" s="284">
        <v>0</v>
      </c>
      <c r="AH51" s="282" t="s">
        <v>871</v>
      </c>
      <c r="AI51" s="283" t="s">
        <v>875</v>
      </c>
      <c r="AJ51" s="286">
        <v>0</v>
      </c>
      <c r="AK51" s="287" t="s">
        <v>871</v>
      </c>
      <c r="AL51" s="288" t="s">
        <v>876</v>
      </c>
      <c r="AM51" s="284">
        <v>0</v>
      </c>
      <c r="AN51" s="287" t="s">
        <v>871</v>
      </c>
      <c r="AO51" s="288" t="s">
        <v>876</v>
      </c>
      <c r="AP51" s="285">
        <v>0</v>
      </c>
      <c r="AQ51" s="287" t="s">
        <v>871</v>
      </c>
      <c r="AR51" s="288" t="s">
        <v>876</v>
      </c>
      <c r="AS51" s="284">
        <v>0</v>
      </c>
      <c r="AT51" s="287" t="s">
        <v>871</v>
      </c>
      <c r="AU51" s="288" t="s">
        <v>877</v>
      </c>
      <c r="AV51" s="284">
        <v>0</v>
      </c>
      <c r="AW51" s="287" t="s">
        <v>871</v>
      </c>
      <c r="AX51" s="288" t="s">
        <v>877</v>
      </c>
      <c r="AY51" s="284">
        <v>0</v>
      </c>
      <c r="AZ51" s="287" t="s">
        <v>871</v>
      </c>
      <c r="BA51" s="288" t="s">
        <v>878</v>
      </c>
      <c r="BB51" s="285">
        <v>0</v>
      </c>
      <c r="BC51" s="287" t="s">
        <v>871</v>
      </c>
      <c r="BD51" s="288" t="s">
        <v>878</v>
      </c>
      <c r="BE51" s="284">
        <v>0</v>
      </c>
      <c r="BF51" s="287" t="s">
        <v>871</v>
      </c>
      <c r="BG51" s="288" t="s">
        <v>879</v>
      </c>
      <c r="BH51" s="284">
        <v>0</v>
      </c>
      <c r="BI51" s="287" t="s">
        <v>871</v>
      </c>
      <c r="BJ51" s="288" t="s">
        <v>879</v>
      </c>
      <c r="BK51" s="284">
        <v>1.4</v>
      </c>
      <c r="BL51" s="287" t="s">
        <v>871</v>
      </c>
      <c r="BM51" s="288" t="s">
        <v>879</v>
      </c>
      <c r="BN51" s="285">
        <v>1.4</v>
      </c>
      <c r="BO51" s="287" t="s">
        <v>871</v>
      </c>
      <c r="BP51" s="288" t="s">
        <v>880</v>
      </c>
      <c r="BQ51" s="284">
        <v>1.4</v>
      </c>
      <c r="BR51" s="287" t="s">
        <v>871</v>
      </c>
      <c r="BS51" s="288" t="s">
        <v>880</v>
      </c>
      <c r="BT51" s="284">
        <v>1.4</v>
      </c>
      <c r="BU51" s="287" t="s">
        <v>871</v>
      </c>
      <c r="BV51" s="288" t="s">
        <v>881</v>
      </c>
      <c r="BW51" s="284">
        <v>1.5</v>
      </c>
      <c r="BX51" s="287" t="s">
        <v>871</v>
      </c>
      <c r="BY51" s="288" t="s">
        <v>881</v>
      </c>
      <c r="BZ51" s="285">
        <v>1.5</v>
      </c>
      <c r="CA51" s="287" t="s">
        <v>871</v>
      </c>
      <c r="CB51" s="288" t="s">
        <v>882</v>
      </c>
    </row>
    <row r="52" spans="1:80" ht="13.5" customHeight="1" x14ac:dyDescent="0.25">
      <c r="A52" s="1127"/>
      <c r="B52" s="1129"/>
      <c r="C52" s="276" t="s">
        <v>883</v>
      </c>
      <c r="D52" s="277" t="s">
        <v>884</v>
      </c>
      <c r="E52" s="278"/>
      <c r="F52" s="279"/>
      <c r="G52" s="279"/>
      <c r="H52" s="280"/>
      <c r="I52" s="289" t="s">
        <v>885</v>
      </c>
      <c r="J52" s="282" t="s">
        <v>886</v>
      </c>
      <c r="K52" s="283" t="s">
        <v>887</v>
      </c>
      <c r="L52" s="289">
        <v>85</v>
      </c>
      <c r="M52" s="282" t="s">
        <v>888</v>
      </c>
      <c r="N52" s="283" t="s">
        <v>889</v>
      </c>
      <c r="O52" s="289">
        <v>87</v>
      </c>
      <c r="P52" s="282" t="s">
        <v>890</v>
      </c>
      <c r="Q52" s="283" t="s">
        <v>891</v>
      </c>
      <c r="R52" s="290">
        <v>83</v>
      </c>
      <c r="S52" s="282" t="s">
        <v>892</v>
      </c>
      <c r="T52" s="283" t="s">
        <v>893</v>
      </c>
      <c r="U52" s="289">
        <v>89</v>
      </c>
      <c r="V52" s="282" t="s">
        <v>894</v>
      </c>
      <c r="W52" s="283" t="s">
        <v>895</v>
      </c>
      <c r="X52" s="289">
        <v>101</v>
      </c>
      <c r="Y52" s="282" t="s">
        <v>896</v>
      </c>
      <c r="Z52" s="283" t="s">
        <v>897</v>
      </c>
      <c r="AA52" s="289">
        <v>118</v>
      </c>
      <c r="AB52" s="282" t="s">
        <v>898</v>
      </c>
      <c r="AC52" s="283" t="s">
        <v>899</v>
      </c>
      <c r="AD52" s="285">
        <v>118</v>
      </c>
      <c r="AE52" s="282" t="s">
        <v>900</v>
      </c>
      <c r="AF52" s="283" t="s">
        <v>901</v>
      </c>
      <c r="AG52" s="284">
        <v>112</v>
      </c>
      <c r="AH52" s="282" t="s">
        <v>902</v>
      </c>
      <c r="AI52" s="283" t="s">
        <v>903</v>
      </c>
      <c r="AJ52" s="286">
        <v>111</v>
      </c>
      <c r="AK52" s="287" t="s">
        <v>904</v>
      </c>
      <c r="AL52" s="288" t="s">
        <v>905</v>
      </c>
      <c r="AM52" s="284">
        <v>115</v>
      </c>
      <c r="AN52" s="287" t="s">
        <v>906</v>
      </c>
      <c r="AO52" s="288" t="s">
        <v>907</v>
      </c>
      <c r="AP52" s="285">
        <v>107</v>
      </c>
      <c r="AQ52" s="287" t="s">
        <v>908</v>
      </c>
      <c r="AR52" s="288" t="s">
        <v>909</v>
      </c>
      <c r="AS52" s="284">
        <v>111</v>
      </c>
      <c r="AT52" s="287" t="s">
        <v>910</v>
      </c>
      <c r="AU52" s="288" t="s">
        <v>911</v>
      </c>
      <c r="AV52" s="284">
        <v>118</v>
      </c>
      <c r="AW52" s="287" t="s">
        <v>912</v>
      </c>
      <c r="AX52" s="288" t="s">
        <v>913</v>
      </c>
      <c r="AY52" s="284">
        <v>126</v>
      </c>
      <c r="AZ52" s="287" t="s">
        <v>914</v>
      </c>
      <c r="BA52" s="288" t="s">
        <v>915</v>
      </c>
      <c r="BB52" s="285">
        <v>120</v>
      </c>
      <c r="BC52" s="287" t="s">
        <v>916</v>
      </c>
      <c r="BD52" s="288" t="s">
        <v>917</v>
      </c>
      <c r="BE52" s="284">
        <v>118</v>
      </c>
      <c r="BF52" s="287" t="s">
        <v>918</v>
      </c>
      <c r="BG52" s="288" t="s">
        <v>919</v>
      </c>
      <c r="BH52" s="284">
        <v>113</v>
      </c>
      <c r="BI52" s="287" t="s">
        <v>920</v>
      </c>
      <c r="BJ52" s="288" t="s">
        <v>921</v>
      </c>
      <c r="BK52" s="284">
        <v>108</v>
      </c>
      <c r="BL52" s="287" t="s">
        <v>922</v>
      </c>
      <c r="BM52" s="288" t="s">
        <v>923</v>
      </c>
      <c r="BN52" s="285">
        <v>109</v>
      </c>
      <c r="BO52" s="287" t="s">
        <v>924</v>
      </c>
      <c r="BP52" s="288" t="s">
        <v>925</v>
      </c>
      <c r="BQ52" s="284">
        <v>104</v>
      </c>
      <c r="BR52" s="287" t="s">
        <v>926</v>
      </c>
      <c r="BS52" s="288" t="s">
        <v>927</v>
      </c>
      <c r="BT52" s="284">
        <v>100</v>
      </c>
      <c r="BU52" s="287" t="s">
        <v>928</v>
      </c>
      <c r="BV52" s="288" t="s">
        <v>929</v>
      </c>
      <c r="BW52" s="284">
        <v>87</v>
      </c>
      <c r="BX52" s="287" t="s">
        <v>930</v>
      </c>
      <c r="BY52" s="288" t="s">
        <v>931</v>
      </c>
      <c r="BZ52" s="285">
        <v>84</v>
      </c>
      <c r="CA52" s="287" t="s">
        <v>932</v>
      </c>
      <c r="CB52" s="288" t="s">
        <v>933</v>
      </c>
    </row>
    <row r="53" spans="1:80" ht="13.5" customHeight="1" thickBot="1" x14ac:dyDescent="0.3">
      <c r="A53" s="1127"/>
      <c r="B53" s="1130"/>
      <c r="C53" s="291" t="s">
        <v>934</v>
      </c>
      <c r="D53" s="292" t="s">
        <v>935</v>
      </c>
      <c r="E53" s="293"/>
      <c r="F53" s="294"/>
      <c r="G53" s="294"/>
      <c r="H53" s="295"/>
      <c r="I53" s="296" t="s">
        <v>936</v>
      </c>
      <c r="J53" s="297" t="s">
        <v>937</v>
      </c>
      <c r="K53" s="298" t="s">
        <v>938</v>
      </c>
      <c r="L53" s="296">
        <v>72</v>
      </c>
      <c r="M53" s="297" t="s">
        <v>939</v>
      </c>
      <c r="N53" s="298" t="s">
        <v>940</v>
      </c>
      <c r="O53" s="296">
        <v>70</v>
      </c>
      <c r="P53" s="297" t="s">
        <v>941</v>
      </c>
      <c r="Q53" s="298" t="s">
        <v>942</v>
      </c>
      <c r="R53" s="299">
        <v>75</v>
      </c>
      <c r="S53" s="297" t="s">
        <v>943</v>
      </c>
      <c r="T53" s="298" t="s">
        <v>944</v>
      </c>
      <c r="U53" s="296">
        <v>84</v>
      </c>
      <c r="V53" s="297" t="s">
        <v>945</v>
      </c>
      <c r="W53" s="298" t="s">
        <v>946</v>
      </c>
      <c r="X53" s="296">
        <v>101</v>
      </c>
      <c r="Y53" s="297" t="s">
        <v>947</v>
      </c>
      <c r="Z53" s="298" t="s">
        <v>948</v>
      </c>
      <c r="AA53" s="296">
        <v>119</v>
      </c>
      <c r="AB53" s="297" t="s">
        <v>949</v>
      </c>
      <c r="AC53" s="298" t="s">
        <v>950</v>
      </c>
      <c r="AD53" s="300">
        <v>119</v>
      </c>
      <c r="AE53" s="297" t="s">
        <v>951</v>
      </c>
      <c r="AF53" s="298" t="s">
        <v>952</v>
      </c>
      <c r="AG53" s="301">
        <v>116</v>
      </c>
      <c r="AH53" s="297" t="s">
        <v>953</v>
      </c>
      <c r="AI53" s="298" t="s">
        <v>954</v>
      </c>
      <c r="AJ53" s="302">
        <v>123</v>
      </c>
      <c r="AK53" s="303" t="s">
        <v>955</v>
      </c>
      <c r="AL53" s="304" t="s">
        <v>956</v>
      </c>
      <c r="AM53" s="301">
        <v>125</v>
      </c>
      <c r="AN53" s="303" t="s">
        <v>957</v>
      </c>
      <c r="AO53" s="304" t="s">
        <v>958</v>
      </c>
      <c r="AP53" s="300">
        <v>120</v>
      </c>
      <c r="AQ53" s="303" t="s">
        <v>959</v>
      </c>
      <c r="AR53" s="304" t="s">
        <v>960</v>
      </c>
      <c r="AS53" s="301">
        <v>117</v>
      </c>
      <c r="AT53" s="303" t="s">
        <v>961</v>
      </c>
      <c r="AU53" s="304" t="s">
        <v>962</v>
      </c>
      <c r="AV53" s="301">
        <v>109</v>
      </c>
      <c r="AW53" s="303" t="s">
        <v>963</v>
      </c>
      <c r="AX53" s="304" t="s">
        <v>964</v>
      </c>
      <c r="AY53" s="301">
        <v>119</v>
      </c>
      <c r="AZ53" s="303" t="s">
        <v>965</v>
      </c>
      <c r="BA53" s="304" t="s">
        <v>966</v>
      </c>
      <c r="BB53" s="300">
        <v>119</v>
      </c>
      <c r="BC53" s="303" t="s">
        <v>967</v>
      </c>
      <c r="BD53" s="304" t="s">
        <v>968</v>
      </c>
      <c r="BE53" s="301">
        <v>126</v>
      </c>
      <c r="BF53" s="303" t="s">
        <v>969</v>
      </c>
      <c r="BG53" s="304" t="s">
        <v>970</v>
      </c>
      <c r="BH53" s="301">
        <v>131</v>
      </c>
      <c r="BI53" s="303" t="s">
        <v>971</v>
      </c>
      <c r="BJ53" s="304" t="s">
        <v>972</v>
      </c>
      <c r="BK53" s="301">
        <v>125</v>
      </c>
      <c r="BL53" s="303" t="s">
        <v>973</v>
      </c>
      <c r="BM53" s="304" t="s">
        <v>974</v>
      </c>
      <c r="BN53" s="300">
        <v>121</v>
      </c>
      <c r="BO53" s="303" t="s">
        <v>975</v>
      </c>
      <c r="BP53" s="304" t="s">
        <v>976</v>
      </c>
      <c r="BQ53" s="301">
        <v>108</v>
      </c>
      <c r="BR53" s="303" t="s">
        <v>977</v>
      </c>
      <c r="BS53" s="304" t="s">
        <v>978</v>
      </c>
      <c r="BT53" s="301">
        <v>90</v>
      </c>
      <c r="BU53" s="303" t="s">
        <v>979</v>
      </c>
      <c r="BV53" s="304" t="s">
        <v>980</v>
      </c>
      <c r="BW53" s="301">
        <v>80</v>
      </c>
      <c r="BX53" s="303" t="s">
        <v>981</v>
      </c>
      <c r="BY53" s="304" t="s">
        <v>982</v>
      </c>
      <c r="BZ53" s="300">
        <v>74</v>
      </c>
      <c r="CA53" s="303" t="s">
        <v>983</v>
      </c>
      <c r="CB53" s="304" t="s">
        <v>984</v>
      </c>
    </row>
    <row r="54" spans="1:80" ht="13.5" customHeight="1" x14ac:dyDescent="0.25">
      <c r="A54" s="1127"/>
      <c r="B54" s="1131" t="s">
        <v>27</v>
      </c>
      <c r="C54" s="305" t="s">
        <v>985</v>
      </c>
      <c r="D54" s="306" t="s">
        <v>986</v>
      </c>
      <c r="E54" s="307"/>
      <c r="F54" s="308"/>
      <c r="G54" s="309"/>
      <c r="H54" s="310"/>
      <c r="I54" s="311" t="s">
        <v>987</v>
      </c>
      <c r="J54" s="171" t="s">
        <v>988</v>
      </c>
      <c r="K54" s="172" t="s">
        <v>989</v>
      </c>
      <c r="L54" s="311">
        <v>9</v>
      </c>
      <c r="M54" s="171" t="s">
        <v>990</v>
      </c>
      <c r="N54" s="172" t="s">
        <v>989</v>
      </c>
      <c r="O54" s="311">
        <v>11</v>
      </c>
      <c r="P54" s="171" t="s">
        <v>991</v>
      </c>
      <c r="Q54" s="172" t="s">
        <v>992</v>
      </c>
      <c r="R54" s="312">
        <v>10</v>
      </c>
      <c r="S54" s="171" t="s">
        <v>993</v>
      </c>
      <c r="T54" s="172" t="s">
        <v>994</v>
      </c>
      <c r="U54" s="311">
        <v>12</v>
      </c>
      <c r="V54" s="171" t="s">
        <v>995</v>
      </c>
      <c r="W54" s="172" t="s">
        <v>994</v>
      </c>
      <c r="X54" s="311">
        <v>11</v>
      </c>
      <c r="Y54" s="171" t="s">
        <v>996</v>
      </c>
      <c r="Z54" s="172" t="s">
        <v>997</v>
      </c>
      <c r="AA54" s="311">
        <v>22</v>
      </c>
      <c r="AB54" s="171" t="s">
        <v>998</v>
      </c>
      <c r="AC54" s="172" t="s">
        <v>999</v>
      </c>
      <c r="AD54" s="312">
        <v>25</v>
      </c>
      <c r="AE54" s="171" t="s">
        <v>1000</v>
      </c>
      <c r="AF54" s="172" t="s">
        <v>999</v>
      </c>
      <c r="AG54" s="311">
        <v>18</v>
      </c>
      <c r="AH54" s="171" t="s">
        <v>1001</v>
      </c>
      <c r="AI54" s="172" t="s">
        <v>999</v>
      </c>
      <c r="AJ54" s="313">
        <v>16</v>
      </c>
      <c r="AK54" s="174" t="s">
        <v>1002</v>
      </c>
      <c r="AL54" s="175" t="s">
        <v>1003</v>
      </c>
      <c r="AM54" s="311">
        <v>18</v>
      </c>
      <c r="AN54" s="174" t="s">
        <v>1004</v>
      </c>
      <c r="AO54" s="175" t="s">
        <v>1005</v>
      </c>
      <c r="AP54" s="312">
        <v>16</v>
      </c>
      <c r="AQ54" s="174" t="s">
        <v>1006</v>
      </c>
      <c r="AR54" s="175" t="s">
        <v>1007</v>
      </c>
      <c r="AS54" s="311">
        <v>20</v>
      </c>
      <c r="AT54" s="174" t="s">
        <v>1008</v>
      </c>
      <c r="AU54" s="175" t="s">
        <v>1007</v>
      </c>
      <c r="AV54" s="311">
        <v>18</v>
      </c>
      <c r="AW54" s="174" t="s">
        <v>1009</v>
      </c>
      <c r="AX54" s="175" t="s">
        <v>1010</v>
      </c>
      <c r="AY54" s="311">
        <v>16</v>
      </c>
      <c r="AZ54" s="174" t="s">
        <v>1011</v>
      </c>
      <c r="BA54" s="175" t="s">
        <v>1012</v>
      </c>
      <c r="BB54" s="311">
        <v>18</v>
      </c>
      <c r="BC54" s="174" t="s">
        <v>1013</v>
      </c>
      <c r="BD54" s="175" t="s">
        <v>1012</v>
      </c>
      <c r="BE54" s="311">
        <v>18</v>
      </c>
      <c r="BF54" s="174" t="s">
        <v>1014</v>
      </c>
      <c r="BG54" s="175" t="s">
        <v>1015</v>
      </c>
      <c r="BH54" s="311">
        <v>14</v>
      </c>
      <c r="BI54" s="174" t="s">
        <v>1016</v>
      </c>
      <c r="BJ54" s="175" t="s">
        <v>1015</v>
      </c>
      <c r="BK54" s="311">
        <v>11</v>
      </c>
      <c r="BL54" s="174" t="s">
        <v>1017</v>
      </c>
      <c r="BM54" s="175" t="s">
        <v>1015</v>
      </c>
      <c r="BN54" s="311">
        <v>11</v>
      </c>
      <c r="BO54" s="174" t="s">
        <v>1018</v>
      </c>
      <c r="BP54" s="175" t="s">
        <v>1019</v>
      </c>
      <c r="BQ54" s="311">
        <v>15</v>
      </c>
      <c r="BR54" s="174" t="s">
        <v>1020</v>
      </c>
      <c r="BS54" s="175" t="s">
        <v>1021</v>
      </c>
      <c r="BT54" s="311">
        <v>15</v>
      </c>
      <c r="BU54" s="174" t="s">
        <v>1022</v>
      </c>
      <c r="BV54" s="175" t="s">
        <v>1023</v>
      </c>
      <c r="BW54" s="311">
        <v>10</v>
      </c>
      <c r="BX54" s="174" t="s">
        <v>1024</v>
      </c>
      <c r="BY54" s="175" t="s">
        <v>1025</v>
      </c>
      <c r="BZ54" s="312">
        <v>10</v>
      </c>
      <c r="CA54" s="174" t="s">
        <v>1026</v>
      </c>
      <c r="CB54" s="175" t="s">
        <v>1025</v>
      </c>
    </row>
    <row r="55" spans="1:80" ht="13.5" customHeight="1" x14ac:dyDescent="0.25">
      <c r="A55" s="1127"/>
      <c r="B55" s="1129"/>
      <c r="C55" s="276" t="s">
        <v>1027</v>
      </c>
      <c r="D55" s="314" t="s">
        <v>1028</v>
      </c>
      <c r="E55" s="315"/>
      <c r="F55" s="316"/>
      <c r="G55" s="317"/>
      <c r="H55" s="318"/>
      <c r="I55" s="289" t="s">
        <v>1029</v>
      </c>
      <c r="J55" s="177" t="s">
        <v>1030</v>
      </c>
      <c r="K55" s="319" t="s">
        <v>1031</v>
      </c>
      <c r="L55" s="289" t="s">
        <v>1029</v>
      </c>
      <c r="M55" s="177" t="s">
        <v>1032</v>
      </c>
      <c r="N55" s="319" t="s">
        <v>1033</v>
      </c>
      <c r="O55" s="289" t="s">
        <v>1034</v>
      </c>
      <c r="P55" s="177" t="s">
        <v>1035</v>
      </c>
      <c r="Q55" s="319" t="s">
        <v>1036</v>
      </c>
      <c r="R55" s="290">
        <v>93</v>
      </c>
      <c r="S55" s="177" t="s">
        <v>1037</v>
      </c>
      <c r="T55" s="319" t="s">
        <v>1038</v>
      </c>
      <c r="U55" s="289" t="s">
        <v>1039</v>
      </c>
      <c r="V55" s="177" t="s">
        <v>1040</v>
      </c>
      <c r="W55" s="319" t="s">
        <v>1041</v>
      </c>
      <c r="X55" s="289" t="s">
        <v>1042</v>
      </c>
      <c r="Y55" s="177" t="s">
        <v>1043</v>
      </c>
      <c r="Z55" s="319" t="s">
        <v>1044</v>
      </c>
      <c r="AA55" s="289" t="s">
        <v>1045</v>
      </c>
      <c r="AB55" s="177" t="s">
        <v>1046</v>
      </c>
      <c r="AC55" s="319" t="s">
        <v>1047</v>
      </c>
      <c r="AD55" s="290">
        <v>152</v>
      </c>
      <c r="AE55" s="177" t="s">
        <v>1048</v>
      </c>
      <c r="AF55" s="319" t="s">
        <v>1049</v>
      </c>
      <c r="AG55" s="281" t="s">
        <v>1050</v>
      </c>
      <c r="AH55" s="177" t="s">
        <v>1051</v>
      </c>
      <c r="AI55" s="319" t="s">
        <v>1052</v>
      </c>
      <c r="AJ55" s="320" t="s">
        <v>1053</v>
      </c>
      <c r="AK55" s="182" t="s">
        <v>1054</v>
      </c>
      <c r="AL55" s="321" t="s">
        <v>1055</v>
      </c>
      <c r="AM55" s="281" t="s">
        <v>1056</v>
      </c>
      <c r="AN55" s="182" t="s">
        <v>1057</v>
      </c>
      <c r="AO55" s="321" t="s">
        <v>1058</v>
      </c>
      <c r="AP55" s="322" t="s">
        <v>1050</v>
      </c>
      <c r="AQ55" s="182" t="s">
        <v>1059</v>
      </c>
      <c r="AR55" s="321" t="s">
        <v>1060</v>
      </c>
      <c r="AS55" s="281" t="s">
        <v>1061</v>
      </c>
      <c r="AT55" s="182" t="s">
        <v>1062</v>
      </c>
      <c r="AU55" s="321" t="s">
        <v>1063</v>
      </c>
      <c r="AV55" s="281" t="s">
        <v>1064</v>
      </c>
      <c r="AW55" s="182" t="s">
        <v>1065</v>
      </c>
      <c r="AX55" s="321" t="s">
        <v>1066</v>
      </c>
      <c r="AY55" s="281" t="s">
        <v>1067</v>
      </c>
      <c r="AZ55" s="182" t="s">
        <v>1068</v>
      </c>
      <c r="BA55" s="321" t="s">
        <v>1069</v>
      </c>
      <c r="BB55" s="322" t="s">
        <v>1070</v>
      </c>
      <c r="BC55" s="182" t="s">
        <v>1071</v>
      </c>
      <c r="BD55" s="321" t="s">
        <v>1072</v>
      </c>
      <c r="BE55" s="281" t="s">
        <v>1067</v>
      </c>
      <c r="BF55" s="182" t="s">
        <v>1073</v>
      </c>
      <c r="BG55" s="321" t="s">
        <v>1074</v>
      </c>
      <c r="BH55" s="281" t="s">
        <v>1075</v>
      </c>
      <c r="BI55" s="182" t="s">
        <v>1076</v>
      </c>
      <c r="BJ55" s="321" t="s">
        <v>1077</v>
      </c>
      <c r="BK55" s="281" t="s">
        <v>1064</v>
      </c>
      <c r="BL55" s="182" t="s">
        <v>1078</v>
      </c>
      <c r="BM55" s="321" t="s">
        <v>1079</v>
      </c>
      <c r="BN55" s="322" t="s">
        <v>1080</v>
      </c>
      <c r="BO55" s="182" t="s">
        <v>1081</v>
      </c>
      <c r="BP55" s="321" t="s">
        <v>1082</v>
      </c>
      <c r="BQ55" s="281" t="s">
        <v>1083</v>
      </c>
      <c r="BR55" s="182" t="s">
        <v>1084</v>
      </c>
      <c r="BS55" s="321" t="s">
        <v>1085</v>
      </c>
      <c r="BT55" s="281" t="s">
        <v>1086</v>
      </c>
      <c r="BU55" s="182" t="s">
        <v>1087</v>
      </c>
      <c r="BV55" s="321" t="s">
        <v>1088</v>
      </c>
      <c r="BW55" s="281" t="s">
        <v>1089</v>
      </c>
      <c r="BX55" s="182" t="s">
        <v>1090</v>
      </c>
      <c r="BY55" s="321" t="s">
        <v>1091</v>
      </c>
      <c r="BZ55" s="322" t="s">
        <v>1092</v>
      </c>
      <c r="CA55" s="182" t="s">
        <v>1093</v>
      </c>
      <c r="CB55" s="321" t="s">
        <v>1094</v>
      </c>
    </row>
    <row r="56" spans="1:80" ht="13.5" customHeight="1" x14ac:dyDescent="0.25">
      <c r="A56" s="1127"/>
      <c r="B56" s="1129"/>
      <c r="C56" s="323" t="s">
        <v>1095</v>
      </c>
      <c r="D56" s="314" t="s">
        <v>1096</v>
      </c>
      <c r="E56" s="315"/>
      <c r="F56" s="316"/>
      <c r="G56" s="317"/>
      <c r="H56" s="318"/>
      <c r="I56" s="289" t="s">
        <v>1097</v>
      </c>
      <c r="J56" s="177" t="s">
        <v>1098</v>
      </c>
      <c r="K56" s="319" t="s">
        <v>1099</v>
      </c>
      <c r="L56" s="289" t="s">
        <v>1097</v>
      </c>
      <c r="M56" s="177" t="s">
        <v>1100</v>
      </c>
      <c r="N56" s="319" t="s">
        <v>1101</v>
      </c>
      <c r="O56" s="289" t="s">
        <v>936</v>
      </c>
      <c r="P56" s="177" t="s">
        <v>1102</v>
      </c>
      <c r="Q56" s="319" t="s">
        <v>1103</v>
      </c>
      <c r="R56" s="290" t="s">
        <v>1104</v>
      </c>
      <c r="S56" s="177" t="s">
        <v>1105</v>
      </c>
      <c r="T56" s="319" t="s">
        <v>1106</v>
      </c>
      <c r="U56" s="289" t="s">
        <v>1107</v>
      </c>
      <c r="V56" s="177" t="s">
        <v>1108</v>
      </c>
      <c r="W56" s="319" t="s">
        <v>1109</v>
      </c>
      <c r="X56" s="289" t="s">
        <v>1097</v>
      </c>
      <c r="Y56" s="177" t="s">
        <v>1110</v>
      </c>
      <c r="Z56" s="319" t="s">
        <v>1111</v>
      </c>
      <c r="AA56" s="289" t="s">
        <v>1112</v>
      </c>
      <c r="AB56" s="177" t="s">
        <v>1113</v>
      </c>
      <c r="AC56" s="319" t="s">
        <v>1114</v>
      </c>
      <c r="AD56" s="290">
        <v>73</v>
      </c>
      <c r="AE56" s="177" t="s">
        <v>1115</v>
      </c>
      <c r="AF56" s="319" t="s">
        <v>1116</v>
      </c>
      <c r="AG56" s="281" t="s">
        <v>1117</v>
      </c>
      <c r="AH56" s="177" t="s">
        <v>1118</v>
      </c>
      <c r="AI56" s="319" t="s">
        <v>1119</v>
      </c>
      <c r="AJ56" s="320" t="s">
        <v>1120</v>
      </c>
      <c r="AK56" s="182" t="s">
        <v>1121</v>
      </c>
      <c r="AL56" s="321" t="s">
        <v>1122</v>
      </c>
      <c r="AM56" s="281" t="s">
        <v>885</v>
      </c>
      <c r="AN56" s="182" t="s">
        <v>1123</v>
      </c>
      <c r="AO56" s="321" t="s">
        <v>1124</v>
      </c>
      <c r="AP56" s="322" t="s">
        <v>1125</v>
      </c>
      <c r="AQ56" s="182" t="s">
        <v>1126</v>
      </c>
      <c r="AR56" s="321" t="s">
        <v>1127</v>
      </c>
      <c r="AS56" s="281" t="s">
        <v>1128</v>
      </c>
      <c r="AT56" s="182" t="s">
        <v>1129</v>
      </c>
      <c r="AU56" s="321" t="s">
        <v>1130</v>
      </c>
      <c r="AV56" s="281" t="s">
        <v>513</v>
      </c>
      <c r="AW56" s="182" t="s">
        <v>1131</v>
      </c>
      <c r="AX56" s="321" t="s">
        <v>1132</v>
      </c>
      <c r="AY56" s="281" t="s">
        <v>1133</v>
      </c>
      <c r="AZ56" s="182" t="s">
        <v>1134</v>
      </c>
      <c r="BA56" s="321" t="s">
        <v>1135</v>
      </c>
      <c r="BB56" s="322" t="s">
        <v>1136</v>
      </c>
      <c r="BC56" s="182" t="s">
        <v>1137</v>
      </c>
      <c r="BD56" s="321" t="s">
        <v>1138</v>
      </c>
      <c r="BE56" s="281" t="s">
        <v>1089</v>
      </c>
      <c r="BF56" s="182" t="s">
        <v>1139</v>
      </c>
      <c r="BG56" s="321" t="s">
        <v>1140</v>
      </c>
      <c r="BH56" s="281" t="s">
        <v>1141</v>
      </c>
      <c r="BI56" s="182" t="s">
        <v>1142</v>
      </c>
      <c r="BJ56" s="321" t="s">
        <v>1143</v>
      </c>
      <c r="BK56" s="281" t="s">
        <v>1144</v>
      </c>
      <c r="BL56" s="182" t="s">
        <v>1145</v>
      </c>
      <c r="BM56" s="321" t="s">
        <v>1146</v>
      </c>
      <c r="BN56" s="322" t="s">
        <v>1128</v>
      </c>
      <c r="BO56" s="182" t="s">
        <v>1147</v>
      </c>
      <c r="BP56" s="321" t="s">
        <v>1148</v>
      </c>
      <c r="BQ56" s="281" t="s">
        <v>1149</v>
      </c>
      <c r="BR56" s="182" t="s">
        <v>1150</v>
      </c>
      <c r="BS56" s="321" t="s">
        <v>1151</v>
      </c>
      <c r="BT56" s="281" t="s">
        <v>1152</v>
      </c>
      <c r="BU56" s="182" t="s">
        <v>1153</v>
      </c>
      <c r="BV56" s="321" t="s">
        <v>1154</v>
      </c>
      <c r="BW56" s="281" t="s">
        <v>1152</v>
      </c>
      <c r="BX56" s="182" t="s">
        <v>1155</v>
      </c>
      <c r="BY56" s="321" t="s">
        <v>1156</v>
      </c>
      <c r="BZ56" s="322" t="s">
        <v>1157</v>
      </c>
      <c r="CA56" s="182" t="s">
        <v>1158</v>
      </c>
      <c r="CB56" s="321" t="s">
        <v>1159</v>
      </c>
    </row>
    <row r="57" spans="1:80" ht="13.5" customHeight="1" x14ac:dyDescent="0.25">
      <c r="A57" s="1127"/>
      <c r="B57" s="1129"/>
      <c r="C57" s="276" t="s">
        <v>1160</v>
      </c>
      <c r="D57" s="314" t="s">
        <v>1161</v>
      </c>
      <c r="E57" s="315"/>
      <c r="F57" s="316"/>
      <c r="G57" s="317"/>
      <c r="H57" s="318"/>
      <c r="I57" s="289" t="s">
        <v>1162</v>
      </c>
      <c r="J57" s="177" t="s">
        <v>1163</v>
      </c>
      <c r="K57" s="319" t="s">
        <v>1164</v>
      </c>
      <c r="L57" s="289">
        <v>12</v>
      </c>
      <c r="M57" s="177" t="s">
        <v>1165</v>
      </c>
      <c r="N57" s="319" t="s">
        <v>1166</v>
      </c>
      <c r="O57" s="289" t="s">
        <v>1167</v>
      </c>
      <c r="P57" s="177" t="s">
        <v>1168</v>
      </c>
      <c r="Q57" s="319" t="s">
        <v>1169</v>
      </c>
      <c r="R57" s="290">
        <v>9</v>
      </c>
      <c r="S57" s="177" t="s">
        <v>1170</v>
      </c>
      <c r="T57" s="319" t="s">
        <v>1171</v>
      </c>
      <c r="U57" s="289" t="s">
        <v>1167</v>
      </c>
      <c r="V57" s="177" t="s">
        <v>1172</v>
      </c>
      <c r="W57" s="319" t="s">
        <v>1173</v>
      </c>
      <c r="X57" s="289">
        <v>9</v>
      </c>
      <c r="Y57" s="177" t="s">
        <v>1174</v>
      </c>
      <c r="Z57" s="319" t="s">
        <v>1175</v>
      </c>
      <c r="AA57" s="289" t="s">
        <v>1176</v>
      </c>
      <c r="AB57" s="177" t="s">
        <v>1177</v>
      </c>
      <c r="AC57" s="319" t="s">
        <v>1178</v>
      </c>
      <c r="AD57" s="290">
        <v>39</v>
      </c>
      <c r="AE57" s="177" t="s">
        <v>1179</v>
      </c>
      <c r="AF57" s="319" t="s">
        <v>1180</v>
      </c>
      <c r="AG57" s="281" t="s">
        <v>1181</v>
      </c>
      <c r="AH57" s="177" t="s">
        <v>1182</v>
      </c>
      <c r="AI57" s="319" t="s">
        <v>1183</v>
      </c>
      <c r="AJ57" s="320" t="s">
        <v>1181</v>
      </c>
      <c r="AK57" s="182" t="s">
        <v>1184</v>
      </c>
      <c r="AL57" s="321" t="s">
        <v>1185</v>
      </c>
      <c r="AM57" s="281" t="s">
        <v>1186</v>
      </c>
      <c r="AN57" s="182" t="s">
        <v>1187</v>
      </c>
      <c r="AO57" s="321" t="s">
        <v>1188</v>
      </c>
      <c r="AP57" s="322" t="s">
        <v>720</v>
      </c>
      <c r="AQ57" s="182" t="s">
        <v>1189</v>
      </c>
      <c r="AR57" s="321" t="s">
        <v>1190</v>
      </c>
      <c r="AS57" s="281" t="s">
        <v>1181</v>
      </c>
      <c r="AT57" s="182" t="s">
        <v>1191</v>
      </c>
      <c r="AU57" s="321" t="s">
        <v>1192</v>
      </c>
      <c r="AV57" s="281" t="s">
        <v>720</v>
      </c>
      <c r="AW57" s="182" t="s">
        <v>1193</v>
      </c>
      <c r="AX57" s="321" t="s">
        <v>1194</v>
      </c>
      <c r="AY57" s="281" t="s">
        <v>720</v>
      </c>
      <c r="AZ57" s="182" t="s">
        <v>1195</v>
      </c>
      <c r="BA57" s="321" t="s">
        <v>1196</v>
      </c>
      <c r="BB57" s="322" t="s">
        <v>1197</v>
      </c>
      <c r="BC57" s="182" t="s">
        <v>1198</v>
      </c>
      <c r="BD57" s="321" t="s">
        <v>1199</v>
      </c>
      <c r="BE57" s="281" t="s">
        <v>1181</v>
      </c>
      <c r="BF57" s="182" t="s">
        <v>1200</v>
      </c>
      <c r="BG57" s="321" t="s">
        <v>1201</v>
      </c>
      <c r="BH57" s="281" t="s">
        <v>1181</v>
      </c>
      <c r="BI57" s="182" t="s">
        <v>1202</v>
      </c>
      <c r="BJ57" s="321" t="s">
        <v>1203</v>
      </c>
      <c r="BK57" s="281" t="s">
        <v>1204</v>
      </c>
      <c r="BL57" s="182" t="s">
        <v>1205</v>
      </c>
      <c r="BM57" s="321" t="s">
        <v>1206</v>
      </c>
      <c r="BN57" s="322" t="s">
        <v>987</v>
      </c>
      <c r="BO57" s="182" t="s">
        <v>1207</v>
      </c>
      <c r="BP57" s="321" t="s">
        <v>1208</v>
      </c>
      <c r="BQ57" s="281" t="s">
        <v>1209</v>
      </c>
      <c r="BR57" s="182" t="s">
        <v>1210</v>
      </c>
      <c r="BS57" s="321" t="s">
        <v>1211</v>
      </c>
      <c r="BT57" s="281" t="s">
        <v>1162</v>
      </c>
      <c r="BU57" s="182" t="s">
        <v>1212</v>
      </c>
      <c r="BV57" s="321" t="s">
        <v>1213</v>
      </c>
      <c r="BW57" s="281" t="s">
        <v>1209</v>
      </c>
      <c r="BX57" s="182" t="s">
        <v>1214</v>
      </c>
      <c r="BY57" s="321" t="s">
        <v>1215</v>
      </c>
      <c r="BZ57" s="322" t="s">
        <v>1209</v>
      </c>
      <c r="CA57" s="182" t="s">
        <v>1216</v>
      </c>
      <c r="CB57" s="321" t="s">
        <v>1217</v>
      </c>
    </row>
    <row r="58" spans="1:80" ht="13.5" customHeight="1" x14ac:dyDescent="0.25">
      <c r="A58" s="1127"/>
      <c r="B58" s="1129"/>
      <c r="C58" s="276" t="s">
        <v>1218</v>
      </c>
      <c r="D58" s="314" t="s">
        <v>1219</v>
      </c>
      <c r="E58" s="315"/>
      <c r="F58" s="316"/>
      <c r="G58" s="317"/>
      <c r="H58" s="318"/>
      <c r="I58" s="289" t="s">
        <v>1220</v>
      </c>
      <c r="J58" s="177" t="s">
        <v>1221</v>
      </c>
      <c r="K58" s="319" t="s">
        <v>1222</v>
      </c>
      <c r="L58" s="289" t="s">
        <v>1223</v>
      </c>
      <c r="M58" s="177" t="s">
        <v>1224</v>
      </c>
      <c r="N58" s="319" t="s">
        <v>1225</v>
      </c>
      <c r="O58" s="289" t="s">
        <v>1226</v>
      </c>
      <c r="P58" s="177" t="s">
        <v>1227</v>
      </c>
      <c r="Q58" s="319" t="s">
        <v>1228</v>
      </c>
      <c r="R58" s="290" t="s">
        <v>1229</v>
      </c>
      <c r="S58" s="177" t="s">
        <v>1230</v>
      </c>
      <c r="T58" s="319" t="s">
        <v>1231</v>
      </c>
      <c r="U58" s="289" t="s">
        <v>1232</v>
      </c>
      <c r="V58" s="177" t="s">
        <v>1233</v>
      </c>
      <c r="W58" s="319" t="s">
        <v>1234</v>
      </c>
      <c r="X58" s="289" t="s">
        <v>1235</v>
      </c>
      <c r="Y58" s="177" t="s">
        <v>1236</v>
      </c>
      <c r="Z58" s="319" t="s">
        <v>1237</v>
      </c>
      <c r="AA58" s="289" t="s">
        <v>1238</v>
      </c>
      <c r="AB58" s="177" t="s">
        <v>1239</v>
      </c>
      <c r="AC58" s="319" t="s">
        <v>1240</v>
      </c>
      <c r="AD58" s="322" t="s">
        <v>1050</v>
      </c>
      <c r="AE58" s="177" t="s">
        <v>1241</v>
      </c>
      <c r="AF58" s="319" t="s">
        <v>1242</v>
      </c>
      <c r="AG58" s="281" t="s">
        <v>1243</v>
      </c>
      <c r="AH58" s="177" t="s">
        <v>1244</v>
      </c>
      <c r="AI58" s="319" t="s">
        <v>1245</v>
      </c>
      <c r="AJ58" s="320" t="s">
        <v>1238</v>
      </c>
      <c r="AK58" s="182" t="s">
        <v>1246</v>
      </c>
      <c r="AL58" s="321" t="s">
        <v>1247</v>
      </c>
      <c r="AM58" s="281" t="s">
        <v>1248</v>
      </c>
      <c r="AN58" s="182" t="s">
        <v>1249</v>
      </c>
      <c r="AO58" s="321" t="s">
        <v>1250</v>
      </c>
      <c r="AP58" s="322" t="s">
        <v>1243</v>
      </c>
      <c r="AQ58" s="182" t="s">
        <v>1251</v>
      </c>
      <c r="AR58" s="321" t="s">
        <v>1252</v>
      </c>
      <c r="AS58" s="281" t="s">
        <v>1253</v>
      </c>
      <c r="AT58" s="182" t="s">
        <v>1254</v>
      </c>
      <c r="AU58" s="321" t="s">
        <v>1255</v>
      </c>
      <c r="AV58" s="281" t="s">
        <v>1256</v>
      </c>
      <c r="AW58" s="182" t="s">
        <v>1257</v>
      </c>
      <c r="AX58" s="321" t="s">
        <v>1258</v>
      </c>
      <c r="AY58" s="281" t="s">
        <v>1259</v>
      </c>
      <c r="AZ58" s="182" t="s">
        <v>1260</v>
      </c>
      <c r="BA58" s="321" t="s">
        <v>1261</v>
      </c>
      <c r="BB58" s="322" t="s">
        <v>1262</v>
      </c>
      <c r="BC58" s="182" t="s">
        <v>1263</v>
      </c>
      <c r="BD58" s="321" t="s">
        <v>1264</v>
      </c>
      <c r="BE58" s="281" t="s">
        <v>1265</v>
      </c>
      <c r="BF58" s="182" t="s">
        <v>1266</v>
      </c>
      <c r="BG58" s="321" t="s">
        <v>1267</v>
      </c>
      <c r="BH58" s="281" t="s">
        <v>1268</v>
      </c>
      <c r="BI58" s="182" t="s">
        <v>1269</v>
      </c>
      <c r="BJ58" s="321" t="s">
        <v>1270</v>
      </c>
      <c r="BK58" s="281" t="s">
        <v>1271</v>
      </c>
      <c r="BL58" s="182" t="s">
        <v>1272</v>
      </c>
      <c r="BM58" s="321" t="s">
        <v>1273</v>
      </c>
      <c r="BN58" s="322" t="s">
        <v>1274</v>
      </c>
      <c r="BO58" s="182" t="s">
        <v>1275</v>
      </c>
      <c r="BP58" s="321" t="s">
        <v>1276</v>
      </c>
      <c r="BQ58" s="281" t="s">
        <v>1277</v>
      </c>
      <c r="BR58" s="182" t="s">
        <v>1278</v>
      </c>
      <c r="BS58" s="321" t="s">
        <v>1279</v>
      </c>
      <c r="BT58" s="281" t="s">
        <v>1280</v>
      </c>
      <c r="BU58" s="182" t="s">
        <v>1281</v>
      </c>
      <c r="BV58" s="321" t="s">
        <v>1282</v>
      </c>
      <c r="BW58" s="281" t="s">
        <v>1283</v>
      </c>
      <c r="BX58" s="182" t="s">
        <v>1284</v>
      </c>
      <c r="BY58" s="321" t="s">
        <v>1285</v>
      </c>
      <c r="BZ58" s="322" t="s">
        <v>1232</v>
      </c>
      <c r="CA58" s="182" t="s">
        <v>1286</v>
      </c>
      <c r="CB58" s="321" t="s">
        <v>1287</v>
      </c>
    </row>
    <row r="59" spans="1:80" ht="13.5" customHeight="1" x14ac:dyDescent="0.25">
      <c r="A59" s="1127"/>
      <c r="B59" s="1129"/>
      <c r="C59" s="276" t="s">
        <v>1288</v>
      </c>
      <c r="D59" s="324" t="s">
        <v>1289</v>
      </c>
      <c r="E59" s="315"/>
      <c r="F59" s="316"/>
      <c r="G59" s="317"/>
      <c r="H59" s="318"/>
      <c r="I59" s="289" t="s">
        <v>613</v>
      </c>
      <c r="J59" s="177" t="s">
        <v>1290</v>
      </c>
      <c r="K59" s="319" t="s">
        <v>1291</v>
      </c>
      <c r="L59" s="289">
        <v>23</v>
      </c>
      <c r="M59" s="177" t="s">
        <v>1292</v>
      </c>
      <c r="N59" s="319" t="s">
        <v>1293</v>
      </c>
      <c r="O59" s="289">
        <v>17</v>
      </c>
      <c r="P59" s="177" t="s">
        <v>1294</v>
      </c>
      <c r="Q59" s="319" t="s">
        <v>1295</v>
      </c>
      <c r="R59" s="290">
        <v>17</v>
      </c>
      <c r="S59" s="177" t="s">
        <v>1296</v>
      </c>
      <c r="T59" s="319" t="s">
        <v>1297</v>
      </c>
      <c r="U59" s="289">
        <v>16</v>
      </c>
      <c r="V59" s="177" t="s">
        <v>1298</v>
      </c>
      <c r="W59" s="319" t="s">
        <v>1299</v>
      </c>
      <c r="X59" s="289">
        <v>17</v>
      </c>
      <c r="Y59" s="177" t="s">
        <v>1300</v>
      </c>
      <c r="Z59" s="319" t="s">
        <v>1301</v>
      </c>
      <c r="AA59" s="289">
        <v>8</v>
      </c>
      <c r="AB59" s="177" t="s">
        <v>1302</v>
      </c>
      <c r="AC59" s="319" t="s">
        <v>1303</v>
      </c>
      <c r="AD59" s="322" t="s">
        <v>1304</v>
      </c>
      <c r="AE59" s="177" t="s">
        <v>1305</v>
      </c>
      <c r="AF59" s="319" t="s">
        <v>1306</v>
      </c>
      <c r="AG59" s="281" t="s">
        <v>1307</v>
      </c>
      <c r="AH59" s="177" t="s">
        <v>1308</v>
      </c>
      <c r="AI59" s="319" t="s">
        <v>1309</v>
      </c>
      <c r="AJ59" s="320" t="s">
        <v>1307</v>
      </c>
      <c r="AK59" s="182" t="s">
        <v>1310</v>
      </c>
      <c r="AL59" s="321" t="s">
        <v>1311</v>
      </c>
      <c r="AM59" s="281" t="s">
        <v>1307</v>
      </c>
      <c r="AN59" s="182" t="s">
        <v>1312</v>
      </c>
      <c r="AO59" s="321" t="s">
        <v>1313</v>
      </c>
      <c r="AP59" s="322" t="s">
        <v>1307</v>
      </c>
      <c r="AQ59" s="182" t="s">
        <v>1314</v>
      </c>
      <c r="AR59" s="321" t="s">
        <v>1315</v>
      </c>
      <c r="AS59" s="281" t="s">
        <v>1307</v>
      </c>
      <c r="AT59" s="182" t="s">
        <v>1316</v>
      </c>
      <c r="AU59" s="321" t="s">
        <v>1317</v>
      </c>
      <c r="AV59" s="281" t="s">
        <v>1307</v>
      </c>
      <c r="AW59" s="182" t="s">
        <v>1318</v>
      </c>
      <c r="AX59" s="321" t="s">
        <v>1319</v>
      </c>
      <c r="AY59" s="281" t="s">
        <v>1304</v>
      </c>
      <c r="AZ59" s="182" t="s">
        <v>1320</v>
      </c>
      <c r="BA59" s="321" t="s">
        <v>1321</v>
      </c>
      <c r="BB59" s="322" t="s">
        <v>1322</v>
      </c>
      <c r="BC59" s="182" t="s">
        <v>1323</v>
      </c>
      <c r="BD59" s="321" t="s">
        <v>1324</v>
      </c>
      <c r="BE59" s="281" t="s">
        <v>1325</v>
      </c>
      <c r="BF59" s="182" t="s">
        <v>1326</v>
      </c>
      <c r="BG59" s="321" t="s">
        <v>1327</v>
      </c>
      <c r="BH59" s="281" t="s">
        <v>1325</v>
      </c>
      <c r="BI59" s="182" t="s">
        <v>1328</v>
      </c>
      <c r="BJ59" s="321" t="s">
        <v>1329</v>
      </c>
      <c r="BK59" s="281" t="s">
        <v>1176</v>
      </c>
      <c r="BL59" s="182" t="s">
        <v>1330</v>
      </c>
      <c r="BM59" s="321" t="s">
        <v>1331</v>
      </c>
      <c r="BN59" s="322" t="s">
        <v>1332</v>
      </c>
      <c r="BO59" s="182" t="s">
        <v>1333</v>
      </c>
      <c r="BP59" s="321" t="s">
        <v>1334</v>
      </c>
      <c r="BQ59" s="281" t="s">
        <v>1332</v>
      </c>
      <c r="BR59" s="182" t="s">
        <v>1335</v>
      </c>
      <c r="BS59" s="321" t="s">
        <v>1336</v>
      </c>
      <c r="BT59" s="281" t="s">
        <v>1332</v>
      </c>
      <c r="BU59" s="182" t="s">
        <v>1337</v>
      </c>
      <c r="BV59" s="321" t="s">
        <v>1338</v>
      </c>
      <c r="BW59" s="281" t="s">
        <v>1339</v>
      </c>
      <c r="BX59" s="182" t="s">
        <v>1340</v>
      </c>
      <c r="BY59" s="321" t="s">
        <v>1341</v>
      </c>
      <c r="BZ59" s="281" t="s">
        <v>1332</v>
      </c>
      <c r="CA59" s="182" t="s">
        <v>1342</v>
      </c>
      <c r="CB59" s="321" t="s">
        <v>1343</v>
      </c>
    </row>
    <row r="60" spans="1:80" ht="13.5" customHeight="1" x14ac:dyDescent="0.25">
      <c r="A60" s="1127"/>
      <c r="B60" s="1129"/>
      <c r="C60" s="276" t="s">
        <v>1344</v>
      </c>
      <c r="D60" s="314" t="s">
        <v>1345</v>
      </c>
      <c r="E60" s="315"/>
      <c r="F60" s="316"/>
      <c r="G60" s="317"/>
      <c r="H60" s="318"/>
      <c r="I60" s="289">
        <v>98</v>
      </c>
      <c r="J60" s="177" t="s">
        <v>1346</v>
      </c>
      <c r="K60" s="319" t="s">
        <v>1347</v>
      </c>
      <c r="L60" s="289">
        <v>99</v>
      </c>
      <c r="M60" s="177" t="s">
        <v>1348</v>
      </c>
      <c r="N60" s="319" t="s">
        <v>1349</v>
      </c>
      <c r="O60" s="289">
        <v>104</v>
      </c>
      <c r="P60" s="177" t="s">
        <v>1350</v>
      </c>
      <c r="Q60" s="319" t="s">
        <v>1351</v>
      </c>
      <c r="R60" s="290">
        <v>100</v>
      </c>
      <c r="S60" s="177" t="s">
        <v>1352</v>
      </c>
      <c r="T60" s="319" t="s">
        <v>1353</v>
      </c>
      <c r="U60" s="289">
        <v>115</v>
      </c>
      <c r="V60" s="177" t="s">
        <v>1354</v>
      </c>
      <c r="W60" s="319" t="s">
        <v>1355</v>
      </c>
      <c r="X60" s="289">
        <v>129</v>
      </c>
      <c r="Y60" s="177" t="s">
        <v>1356</v>
      </c>
      <c r="Z60" s="319" t="s">
        <v>1357</v>
      </c>
      <c r="AA60" s="289">
        <v>170</v>
      </c>
      <c r="AB60" s="177" t="s">
        <v>1358</v>
      </c>
      <c r="AC60" s="319" t="s">
        <v>1359</v>
      </c>
      <c r="AD60" s="322" t="s">
        <v>1360</v>
      </c>
      <c r="AE60" s="177" t="s">
        <v>1361</v>
      </c>
      <c r="AF60" s="319" t="s">
        <v>1362</v>
      </c>
      <c r="AG60" s="281" t="s">
        <v>1363</v>
      </c>
      <c r="AH60" s="177" t="s">
        <v>1364</v>
      </c>
      <c r="AI60" s="319" t="s">
        <v>1365</v>
      </c>
      <c r="AJ60" s="320" t="s">
        <v>1363</v>
      </c>
      <c r="AK60" s="182" t="s">
        <v>1366</v>
      </c>
      <c r="AL60" s="321" t="s">
        <v>1367</v>
      </c>
      <c r="AM60" s="281" t="s">
        <v>1368</v>
      </c>
      <c r="AN60" s="182" t="s">
        <v>1369</v>
      </c>
      <c r="AO60" s="321" t="s">
        <v>1370</v>
      </c>
      <c r="AP60" s="322" t="s">
        <v>1371</v>
      </c>
      <c r="AQ60" s="182" t="s">
        <v>1372</v>
      </c>
      <c r="AR60" s="321" t="s">
        <v>1373</v>
      </c>
      <c r="AS60" s="281" t="s">
        <v>1374</v>
      </c>
      <c r="AT60" s="182" t="s">
        <v>1375</v>
      </c>
      <c r="AU60" s="321" t="s">
        <v>1376</v>
      </c>
      <c r="AV60" s="281" t="s">
        <v>1363</v>
      </c>
      <c r="AW60" s="182" t="s">
        <v>1377</v>
      </c>
      <c r="AX60" s="321" t="s">
        <v>1378</v>
      </c>
      <c r="AY60" s="281" t="s">
        <v>1259</v>
      </c>
      <c r="AZ60" s="182" t="s">
        <v>1379</v>
      </c>
      <c r="BA60" s="321" t="s">
        <v>1380</v>
      </c>
      <c r="BB60" s="322" t="s">
        <v>178</v>
      </c>
      <c r="BC60" s="182" t="s">
        <v>1381</v>
      </c>
      <c r="BD60" s="321" t="s">
        <v>1382</v>
      </c>
      <c r="BE60" s="281" t="s">
        <v>1383</v>
      </c>
      <c r="BF60" s="182" t="s">
        <v>1384</v>
      </c>
      <c r="BG60" s="321" t="s">
        <v>1385</v>
      </c>
      <c r="BH60" s="281" t="s">
        <v>1360</v>
      </c>
      <c r="BI60" s="182" t="s">
        <v>1386</v>
      </c>
      <c r="BJ60" s="321" t="s">
        <v>1387</v>
      </c>
      <c r="BK60" s="281" t="s">
        <v>1371</v>
      </c>
      <c r="BL60" s="182" t="s">
        <v>1388</v>
      </c>
      <c r="BM60" s="321" t="s">
        <v>1389</v>
      </c>
      <c r="BN60" s="322" t="s">
        <v>1277</v>
      </c>
      <c r="BO60" s="182" t="s">
        <v>1390</v>
      </c>
      <c r="BP60" s="321" t="s">
        <v>1391</v>
      </c>
      <c r="BQ60" s="281" t="s">
        <v>1392</v>
      </c>
      <c r="BR60" s="182" t="s">
        <v>1393</v>
      </c>
      <c r="BS60" s="321" t="s">
        <v>1394</v>
      </c>
      <c r="BT60" s="281" t="s">
        <v>1395</v>
      </c>
      <c r="BU60" s="182" t="s">
        <v>1396</v>
      </c>
      <c r="BV60" s="321" t="s">
        <v>1397</v>
      </c>
      <c r="BW60" s="281" t="s">
        <v>1398</v>
      </c>
      <c r="BX60" s="182" t="s">
        <v>1399</v>
      </c>
      <c r="BY60" s="321" t="s">
        <v>1400</v>
      </c>
      <c r="BZ60" s="322" t="s">
        <v>1401</v>
      </c>
      <c r="CA60" s="182" t="s">
        <v>1402</v>
      </c>
      <c r="CB60" s="321" t="s">
        <v>1403</v>
      </c>
    </row>
    <row r="61" spans="1:80" ht="13.5" customHeight="1" x14ac:dyDescent="0.25">
      <c r="A61" s="1127"/>
      <c r="B61" s="1129"/>
      <c r="C61" s="276" t="s">
        <v>1404</v>
      </c>
      <c r="D61" s="314" t="s">
        <v>1405</v>
      </c>
      <c r="E61" s="315"/>
      <c r="F61" s="316"/>
      <c r="G61" s="317"/>
      <c r="H61" s="318"/>
      <c r="I61" s="289">
        <v>29</v>
      </c>
      <c r="J61" s="177" t="s">
        <v>1406</v>
      </c>
      <c r="K61" s="319" t="s">
        <v>1407</v>
      </c>
      <c r="L61" s="289">
        <v>28</v>
      </c>
      <c r="M61" s="177" t="s">
        <v>1408</v>
      </c>
      <c r="N61" s="319" t="s">
        <v>1409</v>
      </c>
      <c r="O61" s="289">
        <v>28</v>
      </c>
      <c r="P61" s="177" t="s">
        <v>1410</v>
      </c>
      <c r="Q61" s="319" t="s">
        <v>1411</v>
      </c>
      <c r="R61" s="290">
        <v>28</v>
      </c>
      <c r="S61" s="177" t="s">
        <v>1412</v>
      </c>
      <c r="T61" s="319" t="s">
        <v>1413</v>
      </c>
      <c r="U61" s="289">
        <v>31</v>
      </c>
      <c r="V61" s="177" t="s">
        <v>1414</v>
      </c>
      <c r="W61" s="319" t="s">
        <v>1415</v>
      </c>
      <c r="X61" s="289">
        <v>35</v>
      </c>
      <c r="Y61" s="177" t="s">
        <v>1416</v>
      </c>
      <c r="Z61" s="319" t="s">
        <v>1417</v>
      </c>
      <c r="AA61" s="289">
        <v>51</v>
      </c>
      <c r="AB61" s="177" t="s">
        <v>1418</v>
      </c>
      <c r="AC61" s="319" t="s">
        <v>1419</v>
      </c>
      <c r="AD61" s="322" t="s">
        <v>1420</v>
      </c>
      <c r="AE61" s="177" t="s">
        <v>1421</v>
      </c>
      <c r="AF61" s="319" t="s">
        <v>1422</v>
      </c>
      <c r="AG61" s="281" t="s">
        <v>1420</v>
      </c>
      <c r="AH61" s="177" t="s">
        <v>1423</v>
      </c>
      <c r="AI61" s="319" t="s">
        <v>1424</v>
      </c>
      <c r="AJ61" s="320" t="s">
        <v>1425</v>
      </c>
      <c r="AK61" s="182" t="s">
        <v>1426</v>
      </c>
      <c r="AL61" s="321" t="s">
        <v>1427</v>
      </c>
      <c r="AM61" s="281" t="s">
        <v>1428</v>
      </c>
      <c r="AN61" s="182" t="s">
        <v>1429</v>
      </c>
      <c r="AO61" s="321" t="s">
        <v>1430</v>
      </c>
      <c r="AP61" s="322" t="s">
        <v>1431</v>
      </c>
      <c r="AQ61" s="182" t="s">
        <v>1432</v>
      </c>
      <c r="AR61" s="321" t="s">
        <v>1433</v>
      </c>
      <c r="AS61" s="281" t="s">
        <v>1420</v>
      </c>
      <c r="AT61" s="182" t="s">
        <v>1434</v>
      </c>
      <c r="AU61" s="321" t="s">
        <v>1435</v>
      </c>
      <c r="AV61" s="281" t="s">
        <v>1428</v>
      </c>
      <c r="AW61" s="182" t="s">
        <v>1436</v>
      </c>
      <c r="AX61" s="321" t="s">
        <v>1437</v>
      </c>
      <c r="AY61" s="281" t="s">
        <v>1428</v>
      </c>
      <c r="AZ61" s="182" t="s">
        <v>1438</v>
      </c>
      <c r="BA61" s="321" t="s">
        <v>1439</v>
      </c>
      <c r="BB61" s="322" t="s">
        <v>1440</v>
      </c>
      <c r="BC61" s="182" t="s">
        <v>1441</v>
      </c>
      <c r="BD61" s="321" t="s">
        <v>1442</v>
      </c>
      <c r="BE61" s="281" t="s">
        <v>1420</v>
      </c>
      <c r="BF61" s="182" t="s">
        <v>1443</v>
      </c>
      <c r="BG61" s="321" t="s">
        <v>1444</v>
      </c>
      <c r="BH61" s="281" t="s">
        <v>1425</v>
      </c>
      <c r="BI61" s="182" t="s">
        <v>1445</v>
      </c>
      <c r="BJ61" s="321" t="s">
        <v>1446</v>
      </c>
      <c r="BK61" s="281" t="s">
        <v>1447</v>
      </c>
      <c r="BL61" s="182" t="s">
        <v>1448</v>
      </c>
      <c r="BM61" s="321" t="s">
        <v>1449</v>
      </c>
      <c r="BN61" s="322" t="s">
        <v>1197</v>
      </c>
      <c r="BO61" s="182" t="s">
        <v>1450</v>
      </c>
      <c r="BP61" s="321" t="s">
        <v>1451</v>
      </c>
      <c r="BQ61" s="281" t="s">
        <v>1181</v>
      </c>
      <c r="BR61" s="182" t="s">
        <v>1452</v>
      </c>
      <c r="BS61" s="321" t="s">
        <v>1453</v>
      </c>
      <c r="BT61" s="281" t="s">
        <v>1454</v>
      </c>
      <c r="BU61" s="182" t="s">
        <v>1455</v>
      </c>
      <c r="BV61" s="321" t="s">
        <v>1456</v>
      </c>
      <c r="BW61" s="281" t="s">
        <v>1039</v>
      </c>
      <c r="BX61" s="182" t="s">
        <v>1457</v>
      </c>
      <c r="BY61" s="321" t="s">
        <v>1458</v>
      </c>
      <c r="BZ61" s="322" t="s">
        <v>1039</v>
      </c>
      <c r="CA61" s="182" t="s">
        <v>1459</v>
      </c>
      <c r="CB61" s="321" t="s">
        <v>1460</v>
      </c>
    </row>
    <row r="62" spans="1:80" ht="13.5" customHeight="1" x14ac:dyDescent="0.25">
      <c r="A62" s="1127"/>
      <c r="B62" s="1129"/>
      <c r="C62" s="325" t="s">
        <v>1461</v>
      </c>
      <c r="D62" s="326" t="s">
        <v>1462</v>
      </c>
      <c r="E62" s="327"/>
      <c r="F62" s="328"/>
      <c r="G62" s="329"/>
      <c r="H62" s="330"/>
      <c r="I62" s="331">
        <v>19</v>
      </c>
      <c r="J62" s="182" t="s">
        <v>1463</v>
      </c>
      <c r="K62" s="321" t="s">
        <v>1464</v>
      </c>
      <c r="L62" s="331">
        <v>18</v>
      </c>
      <c r="M62" s="182" t="s">
        <v>1465</v>
      </c>
      <c r="N62" s="321" t="s">
        <v>1466</v>
      </c>
      <c r="O62" s="331">
        <v>18</v>
      </c>
      <c r="P62" s="182" t="s">
        <v>1467</v>
      </c>
      <c r="Q62" s="321" t="s">
        <v>1468</v>
      </c>
      <c r="R62" s="332">
        <v>19</v>
      </c>
      <c r="S62" s="182" t="s">
        <v>1469</v>
      </c>
      <c r="T62" s="321" t="s">
        <v>1470</v>
      </c>
      <c r="U62" s="331">
        <v>24</v>
      </c>
      <c r="V62" s="182" t="s">
        <v>1471</v>
      </c>
      <c r="W62" s="321" t="s">
        <v>1472</v>
      </c>
      <c r="X62" s="331">
        <v>26</v>
      </c>
      <c r="Y62" s="182" t="s">
        <v>1473</v>
      </c>
      <c r="Z62" s="321" t="s">
        <v>1474</v>
      </c>
      <c r="AA62" s="331">
        <v>49</v>
      </c>
      <c r="AB62" s="182" t="s">
        <v>1475</v>
      </c>
      <c r="AC62" s="321" t="s">
        <v>1476</v>
      </c>
      <c r="AD62" s="333" t="s">
        <v>1477</v>
      </c>
      <c r="AE62" s="182" t="s">
        <v>1478</v>
      </c>
      <c r="AF62" s="321" t="s">
        <v>1479</v>
      </c>
      <c r="AG62" s="320" t="s">
        <v>1480</v>
      </c>
      <c r="AH62" s="182" t="s">
        <v>1481</v>
      </c>
      <c r="AI62" s="321" t="s">
        <v>1482</v>
      </c>
      <c r="AJ62" s="320" t="s">
        <v>1483</v>
      </c>
      <c r="AK62" s="182" t="s">
        <v>1484</v>
      </c>
      <c r="AL62" s="321" t="s">
        <v>1485</v>
      </c>
      <c r="AM62" s="320" t="s">
        <v>1197</v>
      </c>
      <c r="AN62" s="182" t="s">
        <v>1486</v>
      </c>
      <c r="AO62" s="321" t="s">
        <v>1487</v>
      </c>
      <c r="AP62" s="320" t="s">
        <v>1431</v>
      </c>
      <c r="AQ62" s="182" t="s">
        <v>1488</v>
      </c>
      <c r="AR62" s="321" t="s">
        <v>1489</v>
      </c>
      <c r="AS62" s="320" t="s">
        <v>1490</v>
      </c>
      <c r="AT62" s="182" t="s">
        <v>1491</v>
      </c>
      <c r="AU62" s="321" t="s">
        <v>1492</v>
      </c>
      <c r="AV62" s="320" t="s">
        <v>1490</v>
      </c>
      <c r="AW62" s="182" t="s">
        <v>1493</v>
      </c>
      <c r="AX62" s="321" t="s">
        <v>1494</v>
      </c>
      <c r="AY62" s="320" t="s">
        <v>1440</v>
      </c>
      <c r="AZ62" s="182" t="s">
        <v>1495</v>
      </c>
      <c r="BA62" s="321" t="s">
        <v>1496</v>
      </c>
      <c r="BB62" s="320" t="s">
        <v>1440</v>
      </c>
      <c r="BC62" s="182" t="s">
        <v>1497</v>
      </c>
      <c r="BD62" s="321" t="s">
        <v>1498</v>
      </c>
      <c r="BE62" s="320" t="s">
        <v>1431</v>
      </c>
      <c r="BF62" s="182" t="s">
        <v>1499</v>
      </c>
      <c r="BG62" s="321" t="s">
        <v>1500</v>
      </c>
      <c r="BH62" s="320" t="s">
        <v>1501</v>
      </c>
      <c r="BI62" s="182" t="s">
        <v>1502</v>
      </c>
      <c r="BJ62" s="321" t="s">
        <v>1503</v>
      </c>
      <c r="BK62" s="320" t="s">
        <v>1181</v>
      </c>
      <c r="BL62" s="182" t="s">
        <v>1504</v>
      </c>
      <c r="BM62" s="321" t="s">
        <v>1505</v>
      </c>
      <c r="BN62" s="320" t="s">
        <v>1506</v>
      </c>
      <c r="BO62" s="182" t="s">
        <v>1507</v>
      </c>
      <c r="BP62" s="321" t="s">
        <v>1508</v>
      </c>
      <c r="BQ62" s="281" t="s">
        <v>1039</v>
      </c>
      <c r="BR62" s="182" t="s">
        <v>1509</v>
      </c>
      <c r="BS62" s="321" t="s">
        <v>1510</v>
      </c>
      <c r="BT62" s="281" t="s">
        <v>1511</v>
      </c>
      <c r="BU62" s="182" t="s">
        <v>1512</v>
      </c>
      <c r="BV62" s="321" t="s">
        <v>1513</v>
      </c>
      <c r="BW62" s="281" t="s">
        <v>1514</v>
      </c>
      <c r="BX62" s="182" t="s">
        <v>1515</v>
      </c>
      <c r="BY62" s="321" t="s">
        <v>1516</v>
      </c>
      <c r="BZ62" s="322" t="s">
        <v>1517</v>
      </c>
      <c r="CA62" s="182" t="s">
        <v>1518</v>
      </c>
      <c r="CB62" s="321" t="s">
        <v>1519</v>
      </c>
    </row>
    <row r="63" spans="1:80" ht="13.5" customHeight="1" x14ac:dyDescent="0.25">
      <c r="A63" s="1127"/>
      <c r="B63" s="1129"/>
      <c r="C63" s="323" t="s">
        <v>1520</v>
      </c>
      <c r="D63" s="334" t="s">
        <v>1521</v>
      </c>
      <c r="E63" s="315"/>
      <c r="F63" s="316"/>
      <c r="G63" s="317"/>
      <c r="H63" s="318"/>
      <c r="I63" s="289">
        <v>59</v>
      </c>
      <c r="J63" s="177" t="s">
        <v>1522</v>
      </c>
      <c r="K63" s="319" t="s">
        <v>1523</v>
      </c>
      <c r="L63" s="289">
        <v>55</v>
      </c>
      <c r="M63" s="177" t="s">
        <v>1524</v>
      </c>
      <c r="N63" s="319" t="s">
        <v>1525</v>
      </c>
      <c r="O63" s="289">
        <v>59</v>
      </c>
      <c r="P63" s="177" t="s">
        <v>1526</v>
      </c>
      <c r="Q63" s="319" t="s">
        <v>1527</v>
      </c>
      <c r="R63" s="290">
        <v>58</v>
      </c>
      <c r="S63" s="177" t="s">
        <v>1528</v>
      </c>
      <c r="T63" s="319" t="s">
        <v>1529</v>
      </c>
      <c r="U63" s="289">
        <v>60</v>
      </c>
      <c r="V63" s="177" t="s">
        <v>1530</v>
      </c>
      <c r="W63" s="319" t="s">
        <v>1531</v>
      </c>
      <c r="X63" s="289">
        <v>63</v>
      </c>
      <c r="Y63" s="177" t="s">
        <v>1532</v>
      </c>
      <c r="Z63" s="319" t="s">
        <v>1533</v>
      </c>
      <c r="AA63" s="289">
        <v>82</v>
      </c>
      <c r="AB63" s="177" t="s">
        <v>1534</v>
      </c>
      <c r="AC63" s="319" t="s">
        <v>1535</v>
      </c>
      <c r="AD63" s="322" t="s">
        <v>1034</v>
      </c>
      <c r="AE63" s="177" t="s">
        <v>1536</v>
      </c>
      <c r="AF63" s="319" t="s">
        <v>1537</v>
      </c>
      <c r="AG63" s="281" t="s">
        <v>1149</v>
      </c>
      <c r="AH63" s="177" t="s">
        <v>1538</v>
      </c>
      <c r="AI63" s="319" t="s">
        <v>1539</v>
      </c>
      <c r="AJ63" s="320" t="s">
        <v>1029</v>
      </c>
      <c r="AK63" s="182" t="s">
        <v>1540</v>
      </c>
      <c r="AL63" s="321" t="s">
        <v>1541</v>
      </c>
      <c r="AM63" s="281" t="s">
        <v>820</v>
      </c>
      <c r="AN63" s="182" t="s">
        <v>1542</v>
      </c>
      <c r="AO63" s="321" t="s">
        <v>1543</v>
      </c>
      <c r="AP63" s="322" t="s">
        <v>1104</v>
      </c>
      <c r="AQ63" s="182" t="s">
        <v>1544</v>
      </c>
      <c r="AR63" s="321" t="s">
        <v>1545</v>
      </c>
      <c r="AS63" s="281" t="s">
        <v>1546</v>
      </c>
      <c r="AT63" s="182" t="s">
        <v>1547</v>
      </c>
      <c r="AU63" s="321" t="s">
        <v>1548</v>
      </c>
      <c r="AV63" s="281" t="s">
        <v>820</v>
      </c>
      <c r="AW63" s="182" t="s">
        <v>1549</v>
      </c>
      <c r="AX63" s="321" t="s">
        <v>1550</v>
      </c>
      <c r="AY63" s="281" t="s">
        <v>1112</v>
      </c>
      <c r="AZ63" s="182" t="s">
        <v>1551</v>
      </c>
      <c r="BA63" s="321" t="s">
        <v>1552</v>
      </c>
      <c r="BB63" s="322" t="s">
        <v>820</v>
      </c>
      <c r="BC63" s="182" t="s">
        <v>1553</v>
      </c>
      <c r="BD63" s="321" t="s">
        <v>1554</v>
      </c>
      <c r="BE63" s="281" t="s">
        <v>1555</v>
      </c>
      <c r="BF63" s="182" t="s">
        <v>1556</v>
      </c>
      <c r="BG63" s="321" t="s">
        <v>1557</v>
      </c>
      <c r="BH63" s="281" t="s">
        <v>1558</v>
      </c>
      <c r="BI63" s="182" t="s">
        <v>1559</v>
      </c>
      <c r="BJ63" s="321" t="s">
        <v>1560</v>
      </c>
      <c r="BK63" s="281" t="s">
        <v>1561</v>
      </c>
      <c r="BL63" s="182" t="s">
        <v>1562</v>
      </c>
      <c r="BM63" s="321" t="s">
        <v>1563</v>
      </c>
      <c r="BN63" s="322" t="s">
        <v>1564</v>
      </c>
      <c r="BO63" s="182" t="s">
        <v>1565</v>
      </c>
      <c r="BP63" s="321" t="s">
        <v>1566</v>
      </c>
      <c r="BQ63" s="281" t="s">
        <v>1555</v>
      </c>
      <c r="BR63" s="182" t="s">
        <v>1567</v>
      </c>
      <c r="BS63" s="321" t="s">
        <v>1568</v>
      </c>
      <c r="BT63" s="281" t="s">
        <v>1555</v>
      </c>
      <c r="BU63" s="182" t="s">
        <v>1569</v>
      </c>
      <c r="BV63" s="321" t="s">
        <v>1570</v>
      </c>
      <c r="BW63" s="281" t="s">
        <v>1571</v>
      </c>
      <c r="BX63" s="182" t="s">
        <v>1572</v>
      </c>
      <c r="BY63" s="321" t="s">
        <v>1573</v>
      </c>
      <c r="BZ63" s="322" t="s">
        <v>1571</v>
      </c>
      <c r="CA63" s="182" t="s">
        <v>1574</v>
      </c>
      <c r="CB63" s="321" t="s">
        <v>1575</v>
      </c>
    </row>
    <row r="64" spans="1:80" ht="13.5" customHeight="1" x14ac:dyDescent="0.25">
      <c r="A64" s="1127"/>
      <c r="B64" s="1129"/>
      <c r="C64" s="276" t="s">
        <v>1576</v>
      </c>
      <c r="D64" s="314" t="s">
        <v>1577</v>
      </c>
      <c r="E64" s="315"/>
      <c r="F64" s="316"/>
      <c r="G64" s="317"/>
      <c r="H64" s="318"/>
      <c r="I64" s="289">
        <v>5</v>
      </c>
      <c r="J64" s="177" t="s">
        <v>1578</v>
      </c>
      <c r="K64" s="319" t="s">
        <v>1579</v>
      </c>
      <c r="L64" s="289">
        <v>5</v>
      </c>
      <c r="M64" s="177" t="s">
        <v>1580</v>
      </c>
      <c r="N64" s="319" t="s">
        <v>1579</v>
      </c>
      <c r="O64" s="289">
        <v>5</v>
      </c>
      <c r="P64" s="177" t="s">
        <v>1581</v>
      </c>
      <c r="Q64" s="319" t="s">
        <v>1582</v>
      </c>
      <c r="R64" s="290">
        <v>7</v>
      </c>
      <c r="S64" s="177" t="s">
        <v>1583</v>
      </c>
      <c r="T64" s="319" t="s">
        <v>1582</v>
      </c>
      <c r="U64" s="289">
        <v>9</v>
      </c>
      <c r="V64" s="177" t="s">
        <v>1584</v>
      </c>
      <c r="W64" s="319" t="s">
        <v>1582</v>
      </c>
      <c r="X64" s="289">
        <v>10</v>
      </c>
      <c r="Y64" s="177" t="s">
        <v>1585</v>
      </c>
      <c r="Z64" s="319" t="s">
        <v>1582</v>
      </c>
      <c r="AA64" s="289">
        <v>28</v>
      </c>
      <c r="AB64" s="177" t="s">
        <v>1586</v>
      </c>
      <c r="AC64" s="319" t="s">
        <v>1587</v>
      </c>
      <c r="AD64" s="322" t="s">
        <v>1588</v>
      </c>
      <c r="AE64" s="177" t="s">
        <v>1589</v>
      </c>
      <c r="AF64" s="319" t="s">
        <v>1590</v>
      </c>
      <c r="AG64" s="281" t="s">
        <v>1588</v>
      </c>
      <c r="AH64" s="177" t="s">
        <v>1591</v>
      </c>
      <c r="AI64" s="319" t="s">
        <v>1592</v>
      </c>
      <c r="AJ64" s="320" t="s">
        <v>1593</v>
      </c>
      <c r="AK64" s="182" t="s">
        <v>1594</v>
      </c>
      <c r="AL64" s="321" t="s">
        <v>1595</v>
      </c>
      <c r="AM64" s="281" t="s">
        <v>1593</v>
      </c>
      <c r="AN64" s="182" t="s">
        <v>1596</v>
      </c>
      <c r="AO64" s="321" t="s">
        <v>1595</v>
      </c>
      <c r="AP64" s="322" t="s">
        <v>1597</v>
      </c>
      <c r="AQ64" s="182" t="s">
        <v>1598</v>
      </c>
      <c r="AR64" s="321" t="s">
        <v>1599</v>
      </c>
      <c r="AS64" s="281" t="s">
        <v>1597</v>
      </c>
      <c r="AT64" s="182" t="s">
        <v>1600</v>
      </c>
      <c r="AU64" s="321" t="s">
        <v>1601</v>
      </c>
      <c r="AV64" s="281" t="s">
        <v>1204</v>
      </c>
      <c r="AW64" s="182" t="s">
        <v>1602</v>
      </c>
      <c r="AX64" s="321" t="s">
        <v>1603</v>
      </c>
      <c r="AY64" s="281" t="s">
        <v>1593</v>
      </c>
      <c r="AZ64" s="182" t="s">
        <v>1604</v>
      </c>
      <c r="BA64" s="321" t="s">
        <v>1605</v>
      </c>
      <c r="BB64" s="322" t="s">
        <v>1593</v>
      </c>
      <c r="BC64" s="182" t="s">
        <v>1606</v>
      </c>
      <c r="BD64" s="321" t="s">
        <v>1605</v>
      </c>
      <c r="BE64" s="281" t="s">
        <v>1514</v>
      </c>
      <c r="BF64" s="182" t="s">
        <v>1607</v>
      </c>
      <c r="BG64" s="321" t="s">
        <v>1608</v>
      </c>
      <c r="BH64" s="281" t="s">
        <v>1176</v>
      </c>
      <c r="BI64" s="182" t="s">
        <v>1609</v>
      </c>
      <c r="BJ64" s="321" t="s">
        <v>1610</v>
      </c>
      <c r="BK64" s="281" t="s">
        <v>770</v>
      </c>
      <c r="BL64" s="182" t="s">
        <v>1611</v>
      </c>
      <c r="BM64" s="321" t="s">
        <v>1610</v>
      </c>
      <c r="BN64" s="322" t="s">
        <v>1612</v>
      </c>
      <c r="BO64" s="182" t="s">
        <v>1613</v>
      </c>
      <c r="BP64" s="321" t="s">
        <v>1610</v>
      </c>
      <c r="BQ64" s="281" t="s">
        <v>1304</v>
      </c>
      <c r="BR64" s="182" t="s">
        <v>1614</v>
      </c>
      <c r="BS64" s="321" t="s">
        <v>1610</v>
      </c>
      <c r="BT64" s="281" t="s">
        <v>1325</v>
      </c>
      <c r="BU64" s="182" t="s">
        <v>1615</v>
      </c>
      <c r="BV64" s="321" t="s">
        <v>1610</v>
      </c>
      <c r="BW64" s="281" t="s">
        <v>1325</v>
      </c>
      <c r="BX64" s="182" t="s">
        <v>1616</v>
      </c>
      <c r="BY64" s="321" t="s">
        <v>1610</v>
      </c>
      <c r="BZ64" s="322" t="s">
        <v>1325</v>
      </c>
      <c r="CA64" s="182" t="s">
        <v>1617</v>
      </c>
      <c r="CB64" s="321" t="s">
        <v>1618</v>
      </c>
    </row>
    <row r="65" spans="1:80" ht="13.5" customHeight="1" thickBot="1" x14ac:dyDescent="0.3">
      <c r="A65" s="1154"/>
      <c r="B65" s="1130"/>
      <c r="C65" s="291" t="s">
        <v>1619</v>
      </c>
      <c r="D65" s="335" t="s">
        <v>1620</v>
      </c>
      <c r="E65" s="336"/>
      <c r="F65" s="337"/>
      <c r="G65" s="338"/>
      <c r="H65" s="339"/>
      <c r="I65" s="340">
        <v>4</v>
      </c>
      <c r="J65" s="185" t="s">
        <v>1621</v>
      </c>
      <c r="K65" s="341" t="s">
        <v>1622</v>
      </c>
      <c r="L65" s="340">
        <v>4</v>
      </c>
      <c r="M65" s="185" t="s">
        <v>1623</v>
      </c>
      <c r="N65" s="341" t="s">
        <v>1622</v>
      </c>
      <c r="O65" s="340">
        <v>4</v>
      </c>
      <c r="P65" s="185" t="s">
        <v>1624</v>
      </c>
      <c r="Q65" s="341" t="s">
        <v>1622</v>
      </c>
      <c r="R65" s="342">
        <v>4</v>
      </c>
      <c r="S65" s="185" t="s">
        <v>1625</v>
      </c>
      <c r="T65" s="341" t="s">
        <v>1622</v>
      </c>
      <c r="U65" s="340">
        <v>5</v>
      </c>
      <c r="V65" s="185" t="s">
        <v>1626</v>
      </c>
      <c r="W65" s="341" t="s">
        <v>1627</v>
      </c>
      <c r="X65" s="340">
        <v>6</v>
      </c>
      <c r="Y65" s="185" t="s">
        <v>1628</v>
      </c>
      <c r="Z65" s="341" t="s">
        <v>1627</v>
      </c>
      <c r="AA65" s="340">
        <v>8</v>
      </c>
      <c r="AB65" s="185" t="s">
        <v>1629</v>
      </c>
      <c r="AC65" s="341" t="s">
        <v>1630</v>
      </c>
      <c r="AD65" s="343" t="s">
        <v>1304</v>
      </c>
      <c r="AE65" s="185" t="s">
        <v>1631</v>
      </c>
      <c r="AF65" s="341" t="s">
        <v>1632</v>
      </c>
      <c r="AG65" s="344" t="s">
        <v>1304</v>
      </c>
      <c r="AH65" s="185" t="s">
        <v>1633</v>
      </c>
      <c r="AI65" s="341" t="s">
        <v>1632</v>
      </c>
      <c r="AJ65" s="345" t="s">
        <v>770</v>
      </c>
      <c r="AK65" s="190" t="s">
        <v>1634</v>
      </c>
      <c r="AL65" s="346" t="s">
        <v>1635</v>
      </c>
      <c r="AM65" s="344" t="s">
        <v>1304</v>
      </c>
      <c r="AN65" s="190" t="s">
        <v>1636</v>
      </c>
      <c r="AO65" s="346" t="s">
        <v>1637</v>
      </c>
      <c r="AP65" s="343" t="s">
        <v>1304</v>
      </c>
      <c r="AQ65" s="190" t="s">
        <v>1638</v>
      </c>
      <c r="AR65" s="346" t="s">
        <v>1639</v>
      </c>
      <c r="AS65" s="344" t="s">
        <v>1304</v>
      </c>
      <c r="AT65" s="190" t="s">
        <v>1640</v>
      </c>
      <c r="AU65" s="346" t="s">
        <v>1641</v>
      </c>
      <c r="AV65" s="344" t="s">
        <v>1304</v>
      </c>
      <c r="AW65" s="190" t="s">
        <v>1642</v>
      </c>
      <c r="AX65" s="346" t="s">
        <v>1641</v>
      </c>
      <c r="AY65" s="344" t="s">
        <v>770</v>
      </c>
      <c r="AZ65" s="190" t="s">
        <v>1643</v>
      </c>
      <c r="BA65" s="346" t="s">
        <v>1644</v>
      </c>
      <c r="BB65" s="343" t="s">
        <v>1304</v>
      </c>
      <c r="BC65" s="190" t="s">
        <v>1645</v>
      </c>
      <c r="BD65" s="346" t="s">
        <v>1646</v>
      </c>
      <c r="BE65" s="344" t="s">
        <v>1304</v>
      </c>
      <c r="BF65" s="190" t="s">
        <v>1647</v>
      </c>
      <c r="BG65" s="346" t="s">
        <v>1648</v>
      </c>
      <c r="BH65" s="344" t="s">
        <v>1304</v>
      </c>
      <c r="BI65" s="190" t="s">
        <v>1649</v>
      </c>
      <c r="BJ65" s="346" t="s">
        <v>1650</v>
      </c>
      <c r="BK65" s="344" t="s">
        <v>1167</v>
      </c>
      <c r="BL65" s="190" t="s">
        <v>1651</v>
      </c>
      <c r="BM65" s="346" t="s">
        <v>1650</v>
      </c>
      <c r="BN65" s="343" t="s">
        <v>1167</v>
      </c>
      <c r="BO65" s="190" t="s">
        <v>1652</v>
      </c>
      <c r="BP65" s="346" t="s">
        <v>1650</v>
      </c>
      <c r="BQ65" s="344" t="s">
        <v>1304</v>
      </c>
      <c r="BR65" s="190" t="s">
        <v>1653</v>
      </c>
      <c r="BS65" s="346" t="s">
        <v>1650</v>
      </c>
      <c r="BT65" s="344" t="s">
        <v>1654</v>
      </c>
      <c r="BU65" s="190" t="s">
        <v>1655</v>
      </c>
      <c r="BV65" s="346" t="s">
        <v>1656</v>
      </c>
      <c r="BW65" s="344" t="s">
        <v>1322</v>
      </c>
      <c r="BX65" s="190" t="s">
        <v>1657</v>
      </c>
      <c r="BY65" s="346" t="s">
        <v>1656</v>
      </c>
      <c r="BZ65" s="343" t="s">
        <v>1322</v>
      </c>
      <c r="CA65" s="190" t="s">
        <v>1658</v>
      </c>
      <c r="CB65" s="346" t="s">
        <v>1656</v>
      </c>
    </row>
    <row r="66" spans="1:80" ht="17.25" hidden="1" customHeight="1" x14ac:dyDescent="0.25">
      <c r="A66" s="347"/>
      <c r="B66" s="348"/>
      <c r="C66" s="349"/>
      <c r="D66" s="350"/>
      <c r="E66" s="317"/>
      <c r="F66" s="316"/>
      <c r="G66" s="351"/>
      <c r="H66" s="352"/>
      <c r="I66" s="353"/>
      <c r="J66" s="177"/>
      <c r="K66" s="319"/>
      <c r="L66" s="353"/>
      <c r="M66" s="354"/>
      <c r="N66" s="355"/>
      <c r="O66" s="353"/>
      <c r="P66" s="177"/>
      <c r="Q66" s="319"/>
      <c r="R66" s="353"/>
      <c r="S66" s="177"/>
      <c r="T66" s="319"/>
      <c r="U66" s="353"/>
      <c r="V66" s="177"/>
      <c r="W66" s="319"/>
      <c r="X66" s="353"/>
      <c r="Y66" s="354"/>
      <c r="Z66" s="355"/>
      <c r="AA66" s="353"/>
      <c r="AB66" s="356"/>
      <c r="AC66" s="357"/>
      <c r="AD66" s="177"/>
      <c r="AE66" s="177"/>
      <c r="AF66" s="319"/>
      <c r="AG66" s="177"/>
      <c r="AH66" s="177"/>
      <c r="AI66" s="319"/>
      <c r="AJ66" s="182"/>
      <c r="AK66" s="358"/>
      <c r="AL66" s="359"/>
      <c r="AM66" s="177"/>
      <c r="AN66" s="177"/>
      <c r="AO66" s="319"/>
      <c r="AP66" s="177"/>
      <c r="AQ66" s="177"/>
      <c r="AR66" s="319"/>
      <c r="AS66" s="177"/>
      <c r="AT66" s="177"/>
      <c r="AU66" s="319"/>
      <c r="AV66" s="177"/>
      <c r="AW66" s="354"/>
      <c r="AX66" s="355"/>
      <c r="AY66" s="177"/>
      <c r="AZ66" s="177"/>
      <c r="BA66" s="319"/>
      <c r="BB66" s="177"/>
      <c r="BC66" s="177"/>
      <c r="BD66" s="319"/>
      <c r="BE66" s="177"/>
      <c r="BF66" s="177"/>
      <c r="BG66" s="319"/>
      <c r="BH66" s="177"/>
      <c r="BI66" s="354"/>
      <c r="BJ66" s="355"/>
      <c r="BK66" s="177"/>
      <c r="BL66" s="177"/>
      <c r="BM66" s="319"/>
      <c r="BN66" s="177"/>
      <c r="BO66" s="177"/>
      <c r="BP66" s="319"/>
      <c r="BQ66" s="177"/>
      <c r="BR66" s="177"/>
      <c r="BS66" s="319"/>
      <c r="BT66" s="177"/>
      <c r="BU66" s="354"/>
      <c r="BV66" s="355"/>
      <c r="BW66" s="177"/>
      <c r="BX66" s="177"/>
      <c r="BY66" s="319"/>
      <c r="BZ66" s="177"/>
      <c r="CA66" s="177"/>
      <c r="CB66" s="319"/>
    </row>
    <row r="67" spans="1:80" ht="17.25" hidden="1" customHeight="1" x14ac:dyDescent="0.25">
      <c r="A67" s="347"/>
      <c r="B67" s="348"/>
      <c r="C67" s="349"/>
      <c r="D67" s="350"/>
      <c r="E67" s="317"/>
      <c r="F67" s="316"/>
      <c r="G67" s="317"/>
      <c r="H67" s="318"/>
      <c r="I67" s="353"/>
      <c r="J67" s="200"/>
      <c r="K67" s="319"/>
      <c r="L67" s="353"/>
      <c r="M67" s="177"/>
      <c r="N67" s="319"/>
      <c r="O67" s="353"/>
      <c r="P67" s="177"/>
      <c r="Q67" s="319"/>
      <c r="R67" s="353"/>
      <c r="S67" s="177"/>
      <c r="T67" s="319"/>
      <c r="U67" s="353"/>
      <c r="V67" s="200"/>
      <c r="W67" s="319"/>
      <c r="X67" s="353"/>
      <c r="Y67" s="177"/>
      <c r="Z67" s="319"/>
      <c r="AA67" s="353"/>
      <c r="AB67" s="356"/>
      <c r="AC67" s="357"/>
      <c r="AD67" s="177"/>
      <c r="AE67" s="177"/>
      <c r="AF67" s="319"/>
      <c r="AG67" s="177"/>
      <c r="AH67" s="200"/>
      <c r="AI67" s="319"/>
      <c r="AJ67" s="182"/>
      <c r="AK67" s="182"/>
      <c r="AL67" s="321"/>
      <c r="AM67" s="177"/>
      <c r="AN67" s="177"/>
      <c r="AO67" s="319"/>
      <c r="AP67" s="177"/>
      <c r="AQ67" s="177"/>
      <c r="AR67" s="319"/>
      <c r="AS67" s="177"/>
      <c r="AT67" s="200"/>
      <c r="AU67" s="319"/>
      <c r="AV67" s="177"/>
      <c r="AW67" s="177"/>
      <c r="AX67" s="319"/>
      <c r="AY67" s="177"/>
      <c r="AZ67" s="177"/>
      <c r="BA67" s="319"/>
      <c r="BB67" s="177"/>
      <c r="BC67" s="177"/>
      <c r="BD67" s="319"/>
      <c r="BE67" s="177"/>
      <c r="BF67" s="200"/>
      <c r="BG67" s="319"/>
      <c r="BH67" s="177"/>
      <c r="BI67" s="177"/>
      <c r="BJ67" s="319"/>
      <c r="BK67" s="177"/>
      <c r="BL67" s="177"/>
      <c r="BM67" s="319"/>
      <c r="BN67" s="177"/>
      <c r="BO67" s="177"/>
      <c r="BP67" s="319"/>
      <c r="BQ67" s="177"/>
      <c r="BR67" s="200"/>
      <c r="BS67" s="319"/>
      <c r="BT67" s="177"/>
      <c r="BU67" s="177"/>
      <c r="BV67" s="319"/>
      <c r="BW67" s="177"/>
      <c r="BX67" s="177"/>
      <c r="BY67" s="319"/>
      <c r="BZ67" s="177"/>
      <c r="CA67" s="177"/>
      <c r="CB67" s="319"/>
    </row>
    <row r="68" spans="1:80" ht="17.25" hidden="1" customHeight="1" x14ac:dyDescent="0.25">
      <c r="A68" s="347"/>
      <c r="B68" s="348"/>
      <c r="C68" s="349"/>
      <c r="D68" s="350"/>
      <c r="E68" s="317"/>
      <c r="F68" s="316"/>
      <c r="G68" s="317"/>
      <c r="H68" s="318"/>
      <c r="I68" s="353"/>
      <c r="J68" s="200"/>
      <c r="K68" s="319"/>
      <c r="L68" s="353"/>
      <c r="M68" s="177"/>
      <c r="N68" s="319"/>
      <c r="O68" s="353"/>
      <c r="P68" s="177"/>
      <c r="Q68" s="319"/>
      <c r="R68" s="353"/>
      <c r="S68" s="177"/>
      <c r="T68" s="319"/>
      <c r="U68" s="353"/>
      <c r="V68" s="200"/>
      <c r="W68" s="319"/>
      <c r="X68" s="353"/>
      <c r="Y68" s="177"/>
      <c r="Z68" s="319"/>
      <c r="AA68" s="353"/>
      <c r="AB68" s="356"/>
      <c r="AC68" s="357"/>
      <c r="AD68" s="177"/>
      <c r="AE68" s="177"/>
      <c r="AF68" s="319"/>
      <c r="AG68" s="177"/>
      <c r="AH68" s="200"/>
      <c r="AI68" s="319"/>
      <c r="AJ68" s="182"/>
      <c r="AK68" s="182"/>
      <c r="AL68" s="321"/>
      <c r="AM68" s="177"/>
      <c r="AN68" s="177"/>
      <c r="AO68" s="319"/>
      <c r="AP68" s="177"/>
      <c r="AQ68" s="177"/>
      <c r="AR68" s="319"/>
      <c r="AS68" s="177"/>
      <c r="AT68" s="200"/>
      <c r="AU68" s="319"/>
      <c r="AV68" s="177"/>
      <c r="AW68" s="177"/>
      <c r="AX68" s="319"/>
      <c r="AY68" s="177"/>
      <c r="AZ68" s="177"/>
      <c r="BA68" s="319"/>
      <c r="BB68" s="177"/>
      <c r="BC68" s="177"/>
      <c r="BD68" s="319"/>
      <c r="BE68" s="177"/>
      <c r="BF68" s="200"/>
      <c r="BG68" s="319"/>
      <c r="BH68" s="177"/>
      <c r="BI68" s="177"/>
      <c r="BJ68" s="319"/>
      <c r="BK68" s="177"/>
      <c r="BL68" s="177"/>
      <c r="BM68" s="319"/>
      <c r="BN68" s="177"/>
      <c r="BO68" s="177"/>
      <c r="BP68" s="319"/>
      <c r="BQ68" s="177"/>
      <c r="BR68" s="200"/>
      <c r="BS68" s="319"/>
      <c r="BT68" s="177"/>
      <c r="BU68" s="177"/>
      <c r="BV68" s="319"/>
      <c r="BW68" s="177"/>
      <c r="BX68" s="177"/>
      <c r="BY68" s="319"/>
      <c r="BZ68" s="177"/>
      <c r="CA68" s="177"/>
      <c r="CB68" s="319"/>
    </row>
    <row r="69" spans="1:80" ht="17.25" hidden="1" customHeight="1" x14ac:dyDescent="0.25">
      <c r="A69" s="360"/>
      <c r="B69" s="361"/>
      <c r="C69" s="169"/>
      <c r="D69" s="350"/>
      <c r="E69" s="317"/>
      <c r="F69" s="316"/>
      <c r="G69" s="317"/>
      <c r="H69" s="318"/>
      <c r="I69" s="353"/>
      <c r="J69" s="200"/>
      <c r="K69" s="319"/>
      <c r="L69" s="353"/>
      <c r="M69" s="177"/>
      <c r="N69" s="319"/>
      <c r="O69" s="353"/>
      <c r="P69" s="177"/>
      <c r="Q69" s="319"/>
      <c r="R69" s="353"/>
      <c r="S69" s="177"/>
      <c r="T69" s="319"/>
      <c r="U69" s="353"/>
      <c r="V69" s="200"/>
      <c r="W69" s="319"/>
      <c r="X69" s="353"/>
      <c r="Y69" s="177"/>
      <c r="Z69" s="319"/>
      <c r="AA69" s="353"/>
      <c r="AB69" s="356"/>
      <c r="AC69" s="357"/>
      <c r="AD69" s="177"/>
      <c r="AE69" s="177"/>
      <c r="AF69" s="319"/>
      <c r="AG69" s="177"/>
      <c r="AH69" s="200"/>
      <c r="AI69" s="319"/>
      <c r="AJ69" s="182"/>
      <c r="AK69" s="182"/>
      <c r="AL69" s="321"/>
      <c r="AM69" s="177"/>
      <c r="AN69" s="177"/>
      <c r="AO69" s="319"/>
      <c r="AP69" s="177"/>
      <c r="AQ69" s="177"/>
      <c r="AR69" s="319"/>
      <c r="AS69" s="177"/>
      <c r="AT69" s="200"/>
      <c r="AU69" s="319"/>
      <c r="AV69" s="177"/>
      <c r="AW69" s="177"/>
      <c r="AX69" s="319"/>
      <c r="AY69" s="177"/>
      <c r="AZ69" s="177"/>
      <c r="BA69" s="319"/>
      <c r="BB69" s="177"/>
      <c r="BC69" s="177"/>
      <c r="BD69" s="319"/>
      <c r="BE69" s="177"/>
      <c r="BF69" s="200"/>
      <c r="BG69" s="319"/>
      <c r="BH69" s="177"/>
      <c r="BI69" s="177"/>
      <c r="BJ69" s="319"/>
      <c r="BK69" s="177"/>
      <c r="BL69" s="177"/>
      <c r="BM69" s="319"/>
      <c r="BN69" s="177"/>
      <c r="BO69" s="177"/>
      <c r="BP69" s="319"/>
      <c r="BQ69" s="177"/>
      <c r="BR69" s="200"/>
      <c r="BS69" s="319"/>
      <c r="BT69" s="177"/>
      <c r="BU69" s="177"/>
      <c r="BV69" s="319"/>
      <c r="BW69" s="177"/>
      <c r="BX69" s="177"/>
      <c r="BY69" s="319"/>
      <c r="BZ69" s="177"/>
      <c r="CA69" s="177"/>
      <c r="CB69" s="319"/>
    </row>
    <row r="70" spans="1:80" ht="17.25" hidden="1" customHeight="1" x14ac:dyDescent="0.25">
      <c r="A70" s="362"/>
      <c r="B70" s="363"/>
      <c r="C70" s="349"/>
      <c r="D70" s="350"/>
      <c r="E70" s="317"/>
      <c r="F70" s="316"/>
      <c r="G70" s="317"/>
      <c r="H70" s="318"/>
      <c r="I70" s="353"/>
      <c r="J70" s="200"/>
      <c r="K70" s="319"/>
      <c r="L70" s="353"/>
      <c r="M70" s="177"/>
      <c r="N70" s="319"/>
      <c r="O70" s="353"/>
      <c r="P70" s="177"/>
      <c r="Q70" s="319"/>
      <c r="R70" s="353"/>
      <c r="S70" s="177"/>
      <c r="T70" s="319"/>
      <c r="U70" s="353"/>
      <c r="V70" s="200"/>
      <c r="W70" s="319"/>
      <c r="X70" s="353"/>
      <c r="Y70" s="177"/>
      <c r="Z70" s="319"/>
      <c r="AA70" s="353"/>
      <c r="AB70" s="356"/>
      <c r="AC70" s="357"/>
      <c r="AD70" s="177"/>
      <c r="AE70" s="177"/>
      <c r="AF70" s="319"/>
      <c r="AG70" s="177"/>
      <c r="AH70" s="200"/>
      <c r="AI70" s="319"/>
      <c r="AJ70" s="182"/>
      <c r="AK70" s="182"/>
      <c r="AL70" s="321"/>
      <c r="AM70" s="177"/>
      <c r="AN70" s="177"/>
      <c r="AO70" s="319"/>
      <c r="AP70" s="177"/>
      <c r="AQ70" s="177"/>
      <c r="AR70" s="319"/>
      <c r="AS70" s="177"/>
      <c r="AT70" s="200"/>
      <c r="AU70" s="319"/>
      <c r="AV70" s="177"/>
      <c r="AW70" s="177"/>
      <c r="AX70" s="319"/>
      <c r="AY70" s="177"/>
      <c r="AZ70" s="177"/>
      <c r="BA70" s="319"/>
      <c r="BB70" s="177"/>
      <c r="BC70" s="177"/>
      <c r="BD70" s="319"/>
      <c r="BE70" s="177"/>
      <c r="BF70" s="200"/>
      <c r="BG70" s="319"/>
      <c r="BH70" s="177"/>
      <c r="BI70" s="177"/>
      <c r="BJ70" s="319"/>
      <c r="BK70" s="177"/>
      <c r="BL70" s="177"/>
      <c r="BM70" s="319"/>
      <c r="BN70" s="177"/>
      <c r="BO70" s="177"/>
      <c r="BP70" s="319"/>
      <c r="BQ70" s="177"/>
      <c r="BR70" s="200"/>
      <c r="BS70" s="319"/>
      <c r="BT70" s="177"/>
      <c r="BU70" s="177"/>
      <c r="BV70" s="319"/>
      <c r="BW70" s="177"/>
      <c r="BX70" s="177"/>
      <c r="BY70" s="319"/>
      <c r="BZ70" s="177"/>
      <c r="CA70" s="177"/>
      <c r="CB70" s="319"/>
    </row>
    <row r="71" spans="1:80" ht="17.25" hidden="1" customHeight="1" x14ac:dyDescent="0.25">
      <c r="A71" s="362"/>
      <c r="B71" s="363"/>
      <c r="C71" s="349"/>
      <c r="D71" s="350"/>
      <c r="E71" s="317"/>
      <c r="F71" s="316"/>
      <c r="G71" s="317"/>
      <c r="H71" s="318"/>
      <c r="I71" s="353"/>
      <c r="J71" s="200"/>
      <c r="K71" s="319"/>
      <c r="L71" s="353"/>
      <c r="M71" s="177"/>
      <c r="N71" s="319"/>
      <c r="O71" s="353"/>
      <c r="P71" s="177"/>
      <c r="Q71" s="319"/>
      <c r="R71" s="353"/>
      <c r="S71" s="177"/>
      <c r="T71" s="319"/>
      <c r="U71" s="353"/>
      <c r="V71" s="200"/>
      <c r="W71" s="319"/>
      <c r="X71" s="353"/>
      <c r="Y71" s="177"/>
      <c r="Z71" s="319"/>
      <c r="AA71" s="353"/>
      <c r="AB71" s="356"/>
      <c r="AC71" s="357"/>
      <c r="AD71" s="177"/>
      <c r="AE71" s="177"/>
      <c r="AF71" s="319"/>
      <c r="AG71" s="177"/>
      <c r="AH71" s="200"/>
      <c r="AI71" s="319"/>
      <c r="AJ71" s="182"/>
      <c r="AK71" s="182"/>
      <c r="AL71" s="321"/>
      <c r="AM71" s="177"/>
      <c r="AN71" s="177"/>
      <c r="AO71" s="319"/>
      <c r="AP71" s="177"/>
      <c r="AQ71" s="177"/>
      <c r="AR71" s="319"/>
      <c r="AS71" s="177"/>
      <c r="AT71" s="200"/>
      <c r="AU71" s="319"/>
      <c r="AV71" s="177"/>
      <c r="AW71" s="177"/>
      <c r="AX71" s="319"/>
      <c r="AY71" s="177"/>
      <c r="AZ71" s="177"/>
      <c r="BA71" s="319"/>
      <c r="BB71" s="177"/>
      <c r="BC71" s="177"/>
      <c r="BD71" s="319"/>
      <c r="BE71" s="177"/>
      <c r="BF71" s="200"/>
      <c r="BG71" s="319"/>
      <c r="BH71" s="177"/>
      <c r="BI71" s="177"/>
      <c r="BJ71" s="319"/>
      <c r="BK71" s="177"/>
      <c r="BL71" s="177"/>
      <c r="BM71" s="319"/>
      <c r="BN71" s="177"/>
      <c r="BO71" s="177"/>
      <c r="BP71" s="319"/>
      <c r="BQ71" s="177"/>
      <c r="BR71" s="200"/>
      <c r="BS71" s="319"/>
      <c r="BT71" s="177"/>
      <c r="BU71" s="177"/>
      <c r="BV71" s="319"/>
      <c r="BW71" s="177"/>
      <c r="BX71" s="177"/>
      <c r="BY71" s="319"/>
      <c r="BZ71" s="177"/>
      <c r="CA71" s="177"/>
      <c r="CB71" s="319"/>
    </row>
    <row r="72" spans="1:80" ht="17.25" hidden="1" customHeight="1" x14ac:dyDescent="0.25">
      <c r="A72" s="362"/>
      <c r="B72" s="363"/>
      <c r="C72" s="349"/>
      <c r="D72" s="350"/>
      <c r="E72" s="317"/>
      <c r="F72" s="316"/>
      <c r="G72" s="317"/>
      <c r="H72" s="318"/>
      <c r="I72" s="353"/>
      <c r="J72" s="200"/>
      <c r="K72" s="319"/>
      <c r="L72" s="353"/>
      <c r="M72" s="177"/>
      <c r="N72" s="319"/>
      <c r="O72" s="353"/>
      <c r="P72" s="177"/>
      <c r="Q72" s="319"/>
      <c r="R72" s="353"/>
      <c r="S72" s="177"/>
      <c r="T72" s="319"/>
      <c r="U72" s="353"/>
      <c r="V72" s="200"/>
      <c r="W72" s="319"/>
      <c r="X72" s="353"/>
      <c r="Y72" s="177"/>
      <c r="Z72" s="319"/>
      <c r="AA72" s="353"/>
      <c r="AB72" s="356"/>
      <c r="AC72" s="357"/>
      <c r="AD72" s="177"/>
      <c r="AE72" s="177"/>
      <c r="AF72" s="319"/>
      <c r="AG72" s="177"/>
      <c r="AH72" s="200"/>
      <c r="AI72" s="319"/>
      <c r="AJ72" s="182"/>
      <c r="AK72" s="182"/>
      <c r="AL72" s="321"/>
      <c r="AM72" s="177"/>
      <c r="AN72" s="177"/>
      <c r="AO72" s="319"/>
      <c r="AP72" s="177"/>
      <c r="AQ72" s="177"/>
      <c r="AR72" s="319"/>
      <c r="AS72" s="177"/>
      <c r="AT72" s="200"/>
      <c r="AU72" s="319"/>
      <c r="AV72" s="177"/>
      <c r="AW72" s="177"/>
      <c r="AX72" s="319"/>
      <c r="AY72" s="177"/>
      <c r="AZ72" s="177"/>
      <c r="BA72" s="319"/>
      <c r="BB72" s="177"/>
      <c r="BC72" s="177"/>
      <c r="BD72" s="319"/>
      <c r="BE72" s="177"/>
      <c r="BF72" s="200"/>
      <c r="BG72" s="319"/>
      <c r="BH72" s="177"/>
      <c r="BI72" s="177"/>
      <c r="BJ72" s="319"/>
      <c r="BK72" s="177"/>
      <c r="BL72" s="177"/>
      <c r="BM72" s="319"/>
      <c r="BN72" s="177"/>
      <c r="BO72" s="177"/>
      <c r="BP72" s="319"/>
      <c r="BQ72" s="177"/>
      <c r="BR72" s="200"/>
      <c r="BS72" s="319"/>
      <c r="BT72" s="177"/>
      <c r="BU72" s="177"/>
      <c r="BV72" s="319"/>
      <c r="BW72" s="177"/>
      <c r="BX72" s="177"/>
      <c r="BY72" s="319"/>
      <c r="BZ72" s="177"/>
      <c r="CA72" s="177"/>
      <c r="CB72" s="319"/>
    </row>
    <row r="73" spans="1:80" ht="17.25" hidden="1" customHeight="1" thickBot="1" x14ac:dyDescent="0.3">
      <c r="A73" s="362"/>
      <c r="B73" s="363"/>
      <c r="C73" s="349"/>
      <c r="D73" s="350"/>
      <c r="E73" s="317"/>
      <c r="F73" s="316"/>
      <c r="G73" s="317"/>
      <c r="H73" s="318"/>
      <c r="I73" s="353"/>
      <c r="J73" s="200"/>
      <c r="K73" s="319"/>
      <c r="L73" s="353"/>
      <c r="M73" s="177"/>
      <c r="N73" s="319"/>
      <c r="O73" s="353"/>
      <c r="P73" s="177"/>
      <c r="Q73" s="319"/>
      <c r="R73" s="353"/>
      <c r="S73" s="177"/>
      <c r="T73" s="319"/>
      <c r="U73" s="353"/>
      <c r="V73" s="200"/>
      <c r="W73" s="319"/>
      <c r="X73" s="353"/>
      <c r="Y73" s="177"/>
      <c r="Z73" s="319"/>
      <c r="AA73" s="353"/>
      <c r="AB73" s="356"/>
      <c r="AC73" s="357"/>
      <c r="AD73" s="177"/>
      <c r="AE73" s="177"/>
      <c r="AF73" s="319"/>
      <c r="AG73" s="177"/>
      <c r="AH73" s="200"/>
      <c r="AI73" s="319"/>
      <c r="AJ73" s="182"/>
      <c r="AK73" s="182"/>
      <c r="AL73" s="321"/>
      <c r="AM73" s="177"/>
      <c r="AN73" s="177"/>
      <c r="AO73" s="319"/>
      <c r="AP73" s="177"/>
      <c r="AQ73" s="177"/>
      <c r="AR73" s="319"/>
      <c r="AS73" s="177"/>
      <c r="AT73" s="200"/>
      <c r="AU73" s="319"/>
      <c r="AV73" s="177"/>
      <c r="AW73" s="177"/>
      <c r="AX73" s="319"/>
      <c r="AY73" s="177"/>
      <c r="AZ73" s="177"/>
      <c r="BA73" s="319"/>
      <c r="BB73" s="177"/>
      <c r="BC73" s="177"/>
      <c r="BD73" s="319"/>
      <c r="BE73" s="177"/>
      <c r="BF73" s="200"/>
      <c r="BG73" s="319"/>
      <c r="BH73" s="177"/>
      <c r="BI73" s="177"/>
      <c r="BJ73" s="319"/>
      <c r="BK73" s="177"/>
      <c r="BL73" s="177"/>
      <c r="BM73" s="319"/>
      <c r="BN73" s="177"/>
      <c r="BO73" s="177"/>
      <c r="BP73" s="319"/>
      <c r="BQ73" s="177"/>
      <c r="BR73" s="200"/>
      <c r="BS73" s="319"/>
      <c r="BT73" s="177"/>
      <c r="BU73" s="177"/>
      <c r="BV73" s="319"/>
      <c r="BW73" s="177"/>
      <c r="BX73" s="177"/>
      <c r="BY73" s="319"/>
      <c r="BZ73" s="177"/>
      <c r="CA73" s="177"/>
      <c r="CB73" s="319"/>
    </row>
    <row r="74" spans="1:80" ht="17.25" hidden="1" customHeight="1" x14ac:dyDescent="0.25">
      <c r="A74" s="362"/>
      <c r="B74" s="363"/>
      <c r="C74" s="349"/>
      <c r="D74" s="350"/>
      <c r="E74" s="317"/>
      <c r="F74" s="316"/>
      <c r="G74" s="317"/>
      <c r="H74" s="318"/>
      <c r="I74" s="353"/>
      <c r="J74" s="200"/>
      <c r="K74" s="319"/>
      <c r="L74" s="353"/>
      <c r="M74" s="177"/>
      <c r="N74" s="319"/>
      <c r="O74" s="353"/>
      <c r="P74" s="177"/>
      <c r="Q74" s="319"/>
      <c r="R74" s="353"/>
      <c r="S74" s="177"/>
      <c r="T74" s="319"/>
      <c r="U74" s="353"/>
      <c r="V74" s="200"/>
      <c r="W74" s="319"/>
      <c r="X74" s="353"/>
      <c r="Y74" s="177"/>
      <c r="Z74" s="319"/>
      <c r="AA74" s="353"/>
      <c r="AB74" s="356"/>
      <c r="AC74" s="357"/>
      <c r="AD74" s="177"/>
      <c r="AE74" s="177"/>
      <c r="AF74" s="319"/>
      <c r="AG74" s="177"/>
      <c r="AH74" s="200"/>
      <c r="AI74" s="319"/>
      <c r="AJ74" s="182"/>
      <c r="AK74" s="182"/>
      <c r="AL74" s="321"/>
      <c r="AM74" s="177"/>
      <c r="AN74" s="177"/>
      <c r="AO74" s="319"/>
      <c r="AP74" s="177"/>
      <c r="AQ74" s="177"/>
      <c r="AR74" s="319"/>
      <c r="AS74" s="177"/>
      <c r="AT74" s="200"/>
      <c r="AU74" s="319"/>
      <c r="AV74" s="177"/>
      <c r="AW74" s="177"/>
      <c r="AX74" s="319"/>
      <c r="AY74" s="177"/>
      <c r="AZ74" s="177"/>
      <c r="BA74" s="319"/>
      <c r="BB74" s="177"/>
      <c r="BC74" s="177"/>
      <c r="BD74" s="319"/>
      <c r="BE74" s="177"/>
      <c r="BF74" s="200"/>
      <c r="BG74" s="319"/>
      <c r="BH74" s="177"/>
      <c r="BI74" s="177"/>
      <c r="BJ74" s="319"/>
      <c r="BK74" s="177"/>
      <c r="BL74" s="177"/>
      <c r="BM74" s="319"/>
      <c r="BN74" s="177"/>
      <c r="BO74" s="177"/>
      <c r="BP74" s="319"/>
      <c r="BQ74" s="177"/>
      <c r="BR74" s="200"/>
      <c r="BS74" s="319"/>
      <c r="BT74" s="177"/>
      <c r="BU74" s="177"/>
      <c r="BV74" s="319"/>
      <c r="BW74" s="177"/>
      <c r="BX74" s="177"/>
      <c r="BY74" s="319"/>
      <c r="BZ74" s="177"/>
      <c r="CA74" s="177"/>
      <c r="CB74" s="319"/>
    </row>
    <row r="75" spans="1:80" ht="17.25" hidden="1" customHeight="1" x14ac:dyDescent="0.25">
      <c r="A75" s="362"/>
      <c r="B75" s="363"/>
      <c r="C75" s="349"/>
      <c r="D75" s="350"/>
      <c r="E75" s="317"/>
      <c r="F75" s="316"/>
      <c r="G75" s="317"/>
      <c r="H75" s="318"/>
      <c r="I75" s="353"/>
      <c r="J75" s="200"/>
      <c r="K75" s="319"/>
      <c r="L75" s="353"/>
      <c r="M75" s="177"/>
      <c r="N75" s="319"/>
      <c r="O75" s="353"/>
      <c r="P75" s="177"/>
      <c r="Q75" s="319"/>
      <c r="R75" s="353"/>
      <c r="S75" s="177"/>
      <c r="T75" s="319"/>
      <c r="U75" s="353"/>
      <c r="V75" s="200"/>
      <c r="W75" s="319"/>
      <c r="X75" s="353"/>
      <c r="Y75" s="177"/>
      <c r="Z75" s="319"/>
      <c r="AA75" s="353"/>
      <c r="AB75" s="356"/>
      <c r="AC75" s="357"/>
      <c r="AD75" s="177"/>
      <c r="AE75" s="177"/>
      <c r="AF75" s="319"/>
      <c r="AG75" s="177"/>
      <c r="AH75" s="200"/>
      <c r="AI75" s="319"/>
      <c r="AJ75" s="182"/>
      <c r="AK75" s="182"/>
      <c r="AL75" s="321"/>
      <c r="AM75" s="177"/>
      <c r="AN75" s="177"/>
      <c r="AO75" s="319"/>
      <c r="AP75" s="177"/>
      <c r="AQ75" s="177"/>
      <c r="AR75" s="319"/>
      <c r="AS75" s="177"/>
      <c r="AT75" s="200"/>
      <c r="AU75" s="319"/>
      <c r="AV75" s="177"/>
      <c r="AW75" s="177"/>
      <c r="AX75" s="319"/>
      <c r="AY75" s="177"/>
      <c r="AZ75" s="177"/>
      <c r="BA75" s="319"/>
      <c r="BB75" s="177"/>
      <c r="BC75" s="177"/>
      <c r="BD75" s="319"/>
      <c r="BE75" s="177"/>
      <c r="BF75" s="200"/>
      <c r="BG75" s="319"/>
      <c r="BH75" s="177"/>
      <c r="BI75" s="177"/>
      <c r="BJ75" s="319"/>
      <c r="BK75" s="177"/>
      <c r="BL75" s="177"/>
      <c r="BM75" s="319"/>
      <c r="BN75" s="177"/>
      <c r="BO75" s="177"/>
      <c r="BP75" s="319"/>
      <c r="BQ75" s="177"/>
      <c r="BR75" s="200"/>
      <c r="BS75" s="319"/>
      <c r="BT75" s="177"/>
      <c r="BU75" s="177"/>
      <c r="BV75" s="319"/>
      <c r="BW75" s="177"/>
      <c r="BX75" s="177"/>
      <c r="BY75" s="319"/>
      <c r="BZ75" s="177"/>
      <c r="CA75" s="177"/>
      <c r="CB75" s="319"/>
    </row>
    <row r="76" spans="1:80" ht="17.25" hidden="1" customHeight="1" x14ac:dyDescent="0.25">
      <c r="A76" s="364"/>
      <c r="B76" s="365"/>
      <c r="C76" s="349"/>
      <c r="D76" s="350"/>
      <c r="E76" s="317"/>
      <c r="F76" s="316"/>
      <c r="G76" s="317"/>
      <c r="H76" s="318"/>
      <c r="I76" s="353"/>
      <c r="J76" s="177"/>
      <c r="K76" s="319"/>
      <c r="L76" s="353"/>
      <c r="M76" s="177"/>
      <c r="N76" s="319"/>
      <c r="O76" s="353"/>
      <c r="P76" s="177"/>
      <c r="Q76" s="319"/>
      <c r="R76" s="353"/>
      <c r="S76" s="177"/>
      <c r="T76" s="319"/>
      <c r="U76" s="353"/>
      <c r="V76" s="177"/>
      <c r="W76" s="319"/>
      <c r="X76" s="353"/>
      <c r="Y76" s="177"/>
      <c r="Z76" s="319"/>
      <c r="AA76" s="353"/>
      <c r="AB76" s="356"/>
      <c r="AC76" s="357"/>
      <c r="AD76" s="177"/>
      <c r="AE76" s="177"/>
      <c r="AF76" s="319"/>
      <c r="AG76" s="177"/>
      <c r="AH76" s="177"/>
      <c r="AI76" s="319"/>
      <c r="AJ76" s="182"/>
      <c r="AK76" s="182"/>
      <c r="AL76" s="321"/>
      <c r="AM76" s="177"/>
      <c r="AN76" s="177"/>
      <c r="AO76" s="319"/>
      <c r="AP76" s="177"/>
      <c r="AQ76" s="177"/>
      <c r="AR76" s="319"/>
      <c r="AS76" s="177"/>
      <c r="AT76" s="177"/>
      <c r="AU76" s="319"/>
      <c r="AV76" s="177"/>
      <c r="AW76" s="177"/>
      <c r="AX76" s="319"/>
      <c r="AY76" s="177"/>
      <c r="AZ76" s="177"/>
      <c r="BA76" s="319"/>
      <c r="BB76" s="177"/>
      <c r="BC76" s="177"/>
      <c r="BD76" s="319"/>
      <c r="BE76" s="177"/>
      <c r="BF76" s="177"/>
      <c r="BG76" s="319"/>
      <c r="BH76" s="177"/>
      <c r="BI76" s="177"/>
      <c r="BJ76" s="319"/>
      <c r="BK76" s="177"/>
      <c r="BL76" s="177"/>
      <c r="BM76" s="319"/>
      <c r="BN76" s="177"/>
      <c r="BO76" s="177"/>
      <c r="BP76" s="319"/>
      <c r="BQ76" s="177"/>
      <c r="BR76" s="177"/>
      <c r="BS76" s="319"/>
      <c r="BT76" s="177"/>
      <c r="BU76" s="177"/>
      <c r="BV76" s="319"/>
      <c r="BW76" s="177"/>
      <c r="BX76" s="177"/>
      <c r="BY76" s="319"/>
      <c r="BZ76" s="177"/>
      <c r="CA76" s="177"/>
      <c r="CB76" s="319"/>
    </row>
    <row r="77" spans="1:80" ht="17.25" hidden="1" customHeight="1" x14ac:dyDescent="0.25">
      <c r="A77" s="364"/>
      <c r="B77" s="365"/>
      <c r="C77" s="349"/>
      <c r="D77" s="350"/>
      <c r="E77" s="317"/>
      <c r="F77" s="316"/>
      <c r="G77" s="317"/>
      <c r="H77" s="318"/>
      <c r="I77" s="353"/>
      <c r="J77" s="177"/>
      <c r="K77" s="319"/>
      <c r="L77" s="353"/>
      <c r="M77" s="177"/>
      <c r="N77" s="319"/>
      <c r="O77" s="353"/>
      <c r="P77" s="177"/>
      <c r="Q77" s="319"/>
      <c r="R77" s="353"/>
      <c r="S77" s="177"/>
      <c r="T77" s="319"/>
      <c r="U77" s="353"/>
      <c r="V77" s="177"/>
      <c r="W77" s="319"/>
      <c r="X77" s="353"/>
      <c r="Y77" s="177"/>
      <c r="Z77" s="319"/>
      <c r="AA77" s="353"/>
      <c r="AB77" s="356"/>
      <c r="AC77" s="357"/>
      <c r="AD77" s="177"/>
      <c r="AE77" s="177"/>
      <c r="AF77" s="319"/>
      <c r="AG77" s="177"/>
      <c r="AH77" s="177"/>
      <c r="AI77" s="319"/>
      <c r="AJ77" s="182"/>
      <c r="AK77" s="182"/>
      <c r="AL77" s="321"/>
      <c r="AM77" s="177"/>
      <c r="AN77" s="177"/>
      <c r="AO77" s="319"/>
      <c r="AP77" s="177"/>
      <c r="AQ77" s="177"/>
      <c r="AR77" s="319"/>
      <c r="AS77" s="177"/>
      <c r="AT77" s="177"/>
      <c r="AU77" s="319"/>
      <c r="AV77" s="177"/>
      <c r="AW77" s="177"/>
      <c r="AX77" s="319"/>
      <c r="AY77" s="177"/>
      <c r="AZ77" s="177"/>
      <c r="BA77" s="319"/>
      <c r="BB77" s="177"/>
      <c r="BC77" s="177"/>
      <c r="BD77" s="319"/>
      <c r="BE77" s="177"/>
      <c r="BF77" s="177"/>
      <c r="BG77" s="319"/>
      <c r="BH77" s="177"/>
      <c r="BI77" s="177"/>
      <c r="BJ77" s="319"/>
      <c r="BK77" s="177"/>
      <c r="BL77" s="177"/>
      <c r="BM77" s="319"/>
      <c r="BN77" s="177"/>
      <c r="BO77" s="177"/>
      <c r="BP77" s="319"/>
      <c r="BQ77" s="177"/>
      <c r="BR77" s="177"/>
      <c r="BS77" s="319"/>
      <c r="BT77" s="177"/>
      <c r="BU77" s="177"/>
      <c r="BV77" s="319"/>
      <c r="BW77" s="177"/>
      <c r="BX77" s="177"/>
      <c r="BY77" s="319"/>
      <c r="BZ77" s="177"/>
      <c r="CA77" s="177"/>
      <c r="CB77" s="319"/>
    </row>
    <row r="78" spans="1:80" ht="17.25" hidden="1" customHeight="1" x14ac:dyDescent="0.25">
      <c r="A78" s="364"/>
      <c r="B78" s="365"/>
      <c r="C78" s="349"/>
      <c r="D78" s="350"/>
      <c r="E78" s="278"/>
      <c r="F78" s="279"/>
      <c r="G78" s="279"/>
      <c r="H78" s="280"/>
      <c r="I78" s="366"/>
      <c r="J78" s="177"/>
      <c r="K78" s="319"/>
      <c r="L78" s="366"/>
      <c r="M78" s="177"/>
      <c r="N78" s="319"/>
      <c r="O78" s="366"/>
      <c r="P78" s="177"/>
      <c r="Q78" s="319"/>
      <c r="R78" s="367"/>
      <c r="S78" s="177"/>
      <c r="T78" s="319"/>
      <c r="U78" s="366"/>
      <c r="V78" s="177"/>
      <c r="W78" s="319"/>
      <c r="X78" s="366"/>
      <c r="Y78" s="177"/>
      <c r="Z78" s="319"/>
      <c r="AA78" s="366"/>
      <c r="AB78" s="368"/>
      <c r="AC78" s="369"/>
      <c r="AD78" s="354"/>
      <c r="AE78" s="177"/>
      <c r="AF78" s="319"/>
      <c r="AG78" s="370"/>
      <c r="AH78" s="177"/>
      <c r="AI78" s="319"/>
      <c r="AJ78" s="371"/>
      <c r="AK78" s="182"/>
      <c r="AL78" s="321"/>
      <c r="AM78" s="370"/>
      <c r="AN78" s="177"/>
      <c r="AO78" s="319"/>
      <c r="AP78" s="354"/>
      <c r="AQ78" s="177"/>
      <c r="AR78" s="319"/>
      <c r="AS78" s="370"/>
      <c r="AT78" s="177"/>
      <c r="AU78" s="319"/>
      <c r="AV78" s="370"/>
      <c r="AW78" s="177"/>
      <c r="AX78" s="319"/>
      <c r="AY78" s="370"/>
      <c r="AZ78" s="177"/>
      <c r="BA78" s="319"/>
      <c r="BB78" s="354"/>
      <c r="BC78" s="177"/>
      <c r="BD78" s="319"/>
      <c r="BE78" s="370"/>
      <c r="BF78" s="177"/>
      <c r="BG78" s="319"/>
      <c r="BH78" s="370"/>
      <c r="BI78" s="177"/>
      <c r="BJ78" s="319"/>
      <c r="BK78" s="370"/>
      <c r="BL78" s="177"/>
      <c r="BM78" s="319"/>
      <c r="BN78" s="354"/>
      <c r="BO78" s="177"/>
      <c r="BP78" s="319"/>
      <c r="BQ78" s="370"/>
      <c r="BR78" s="177"/>
      <c r="BS78" s="319"/>
      <c r="BT78" s="370"/>
      <c r="BU78" s="177"/>
      <c r="BV78" s="319"/>
      <c r="BW78" s="370"/>
      <c r="BX78" s="177"/>
      <c r="BY78" s="319"/>
      <c r="BZ78" s="354"/>
      <c r="CA78" s="177"/>
      <c r="CB78" s="319"/>
    </row>
    <row r="79" spans="1:80" ht="17.25" hidden="1" customHeight="1" x14ac:dyDescent="0.25">
      <c r="A79" s="372"/>
      <c r="B79" s="373"/>
      <c r="C79" s="169"/>
      <c r="D79" s="350"/>
      <c r="E79" s="317"/>
      <c r="F79" s="316"/>
      <c r="G79" s="317"/>
      <c r="H79" s="318"/>
      <c r="I79" s="353"/>
      <c r="J79" s="177"/>
      <c r="K79" s="319"/>
      <c r="L79" s="366"/>
      <c r="M79" s="177"/>
      <c r="N79" s="319"/>
      <c r="O79" s="353"/>
      <c r="P79" s="177"/>
      <c r="Q79" s="319"/>
      <c r="R79" s="366"/>
      <c r="S79" s="177"/>
      <c r="T79" s="319"/>
      <c r="U79" s="353"/>
      <c r="V79" s="177"/>
      <c r="W79" s="319"/>
      <c r="X79" s="366"/>
      <c r="Y79" s="177"/>
      <c r="Z79" s="319"/>
      <c r="AA79" s="353"/>
      <c r="AB79" s="356"/>
      <c r="AC79" s="357"/>
      <c r="AD79" s="370"/>
      <c r="AE79" s="177"/>
      <c r="AF79" s="319"/>
      <c r="AG79" s="177"/>
      <c r="AH79" s="177"/>
      <c r="AI79" s="319"/>
      <c r="AJ79" s="371"/>
      <c r="AK79" s="182"/>
      <c r="AL79" s="321"/>
      <c r="AM79" s="177"/>
      <c r="AN79" s="177"/>
      <c r="AO79" s="319"/>
      <c r="AP79" s="370"/>
      <c r="AQ79" s="177"/>
      <c r="AR79" s="319"/>
      <c r="AS79" s="177"/>
      <c r="AT79" s="177"/>
      <c r="AU79" s="319"/>
      <c r="AV79" s="370"/>
      <c r="AW79" s="177"/>
      <c r="AX79" s="319"/>
      <c r="AY79" s="177"/>
      <c r="AZ79" s="177"/>
      <c r="BA79" s="319"/>
      <c r="BB79" s="370"/>
      <c r="BC79" s="177"/>
      <c r="BD79" s="319"/>
      <c r="BE79" s="177"/>
      <c r="BF79" s="177"/>
      <c r="BG79" s="319"/>
      <c r="BH79" s="370"/>
      <c r="BI79" s="177"/>
      <c r="BJ79" s="319"/>
      <c r="BK79" s="177"/>
      <c r="BL79" s="177"/>
      <c r="BM79" s="319"/>
      <c r="BN79" s="370"/>
      <c r="BO79" s="177"/>
      <c r="BP79" s="319"/>
      <c r="BQ79" s="177"/>
      <c r="BR79" s="177"/>
      <c r="BS79" s="319"/>
      <c r="BT79" s="370"/>
      <c r="BU79" s="177"/>
      <c r="BV79" s="319"/>
      <c r="BW79" s="177"/>
      <c r="BX79" s="177"/>
      <c r="BY79" s="319"/>
      <c r="BZ79" s="370"/>
      <c r="CA79" s="177"/>
      <c r="CB79" s="319"/>
    </row>
    <row r="80" spans="1:80" ht="17.25" hidden="1" customHeight="1" x14ac:dyDescent="0.25">
      <c r="A80" s="362"/>
      <c r="B80" s="363"/>
      <c r="C80" s="349"/>
      <c r="D80" s="350"/>
      <c r="E80" s="317"/>
      <c r="F80" s="316"/>
      <c r="G80" s="317"/>
      <c r="H80" s="318"/>
      <c r="I80" s="353"/>
      <c r="J80" s="177"/>
      <c r="K80" s="319"/>
      <c r="L80" s="353"/>
      <c r="M80" s="177"/>
      <c r="N80" s="319"/>
      <c r="O80" s="353"/>
      <c r="P80" s="177"/>
      <c r="Q80" s="319"/>
      <c r="R80" s="353"/>
      <c r="S80" s="177"/>
      <c r="T80" s="319"/>
      <c r="U80" s="353"/>
      <c r="V80" s="177"/>
      <c r="W80" s="319"/>
      <c r="X80" s="353"/>
      <c r="Y80" s="177"/>
      <c r="Z80" s="319"/>
      <c r="AA80" s="353"/>
      <c r="AB80" s="356"/>
      <c r="AC80" s="357"/>
      <c r="AD80" s="177"/>
      <c r="AE80" s="177"/>
      <c r="AF80" s="319"/>
      <c r="AG80" s="177"/>
      <c r="AH80" s="177"/>
      <c r="AI80" s="319"/>
      <c r="AJ80" s="182"/>
      <c r="AK80" s="182"/>
      <c r="AL80" s="321"/>
      <c r="AM80" s="177"/>
      <c r="AN80" s="177"/>
      <c r="AO80" s="319"/>
      <c r="AP80" s="177"/>
      <c r="AQ80" s="177"/>
      <c r="AR80" s="319"/>
      <c r="AS80" s="177"/>
      <c r="AT80" s="177"/>
      <c r="AU80" s="319"/>
      <c r="AV80" s="177"/>
      <c r="AW80" s="177"/>
      <c r="AX80" s="319"/>
      <c r="AY80" s="177"/>
      <c r="AZ80" s="177"/>
      <c r="BA80" s="319"/>
      <c r="BB80" s="177"/>
      <c r="BC80" s="177"/>
      <c r="BD80" s="319"/>
      <c r="BE80" s="177"/>
      <c r="BF80" s="177"/>
      <c r="BG80" s="319"/>
      <c r="BH80" s="177"/>
      <c r="BI80" s="177"/>
      <c r="BJ80" s="319"/>
      <c r="BK80" s="177"/>
      <c r="BL80" s="177"/>
      <c r="BM80" s="319"/>
      <c r="BN80" s="177"/>
      <c r="BO80" s="177"/>
      <c r="BP80" s="319"/>
      <c r="BQ80" s="177"/>
      <c r="BR80" s="177"/>
      <c r="BS80" s="319"/>
      <c r="BT80" s="177"/>
      <c r="BU80" s="177"/>
      <c r="BV80" s="319"/>
      <c r="BW80" s="177"/>
      <c r="BX80" s="177"/>
      <c r="BY80" s="319"/>
      <c r="BZ80" s="177"/>
      <c r="CA80" s="177"/>
      <c r="CB80" s="319"/>
    </row>
    <row r="81" spans="1:80" ht="15.75" hidden="1" customHeight="1" x14ac:dyDescent="0.25">
      <c r="A81" s="362"/>
      <c r="B81" s="363"/>
      <c r="C81" s="349"/>
      <c r="D81" s="350"/>
      <c r="E81" s="317"/>
      <c r="F81" s="316"/>
      <c r="G81" s="317"/>
      <c r="H81" s="318"/>
      <c r="I81" s="353"/>
      <c r="J81" s="177"/>
      <c r="K81" s="319"/>
      <c r="L81" s="353"/>
      <c r="M81" s="177"/>
      <c r="N81" s="319"/>
      <c r="O81" s="353"/>
      <c r="P81" s="177"/>
      <c r="Q81" s="319"/>
      <c r="R81" s="353"/>
      <c r="S81" s="177"/>
      <c r="T81" s="319"/>
      <c r="U81" s="353"/>
      <c r="V81" s="177"/>
      <c r="W81" s="319"/>
      <c r="X81" s="353"/>
      <c r="Y81" s="177"/>
      <c r="Z81" s="319"/>
      <c r="AA81" s="353"/>
      <c r="AB81" s="356"/>
      <c r="AC81" s="357"/>
      <c r="AD81" s="177"/>
      <c r="AE81" s="177"/>
      <c r="AF81" s="319"/>
      <c r="AG81" s="177"/>
      <c r="AH81" s="177"/>
      <c r="AI81" s="319"/>
      <c r="AJ81" s="182"/>
      <c r="AK81" s="182"/>
      <c r="AL81" s="321"/>
      <c r="AM81" s="177"/>
      <c r="AN81" s="177"/>
      <c r="AO81" s="319"/>
      <c r="AP81" s="177"/>
      <c r="AQ81" s="177"/>
      <c r="AR81" s="319"/>
      <c r="AS81" s="177"/>
      <c r="AT81" s="177"/>
      <c r="AU81" s="319"/>
      <c r="AV81" s="177"/>
      <c r="AW81" s="177"/>
      <c r="AX81" s="319"/>
      <c r="AY81" s="177"/>
      <c r="AZ81" s="177"/>
      <c r="BA81" s="319"/>
      <c r="BB81" s="177"/>
      <c r="BC81" s="177"/>
      <c r="BD81" s="319"/>
      <c r="BE81" s="177"/>
      <c r="BF81" s="177"/>
      <c r="BG81" s="319"/>
      <c r="BH81" s="177"/>
      <c r="BI81" s="177"/>
      <c r="BJ81" s="319"/>
      <c r="BK81" s="177"/>
      <c r="BL81" s="177"/>
      <c r="BM81" s="319"/>
      <c r="BN81" s="177"/>
      <c r="BO81" s="177"/>
      <c r="BP81" s="319"/>
      <c r="BQ81" s="177"/>
      <c r="BR81" s="177"/>
      <c r="BS81" s="319"/>
      <c r="BT81" s="177"/>
      <c r="BU81" s="177"/>
      <c r="BV81" s="319"/>
      <c r="BW81" s="177"/>
      <c r="BX81" s="177"/>
      <c r="BY81" s="319"/>
      <c r="BZ81" s="177"/>
      <c r="CA81" s="177"/>
      <c r="CB81" s="319"/>
    </row>
    <row r="82" spans="1:80" ht="15.75" hidden="1" customHeight="1" x14ac:dyDescent="0.25">
      <c r="A82" s="362"/>
      <c r="B82" s="363"/>
      <c r="C82" s="349"/>
      <c r="D82" s="350"/>
      <c r="E82" s="317"/>
      <c r="F82" s="316"/>
      <c r="G82" s="317"/>
      <c r="H82" s="318"/>
      <c r="I82" s="353"/>
      <c r="J82" s="177"/>
      <c r="K82" s="319"/>
      <c r="L82" s="353"/>
      <c r="M82" s="177"/>
      <c r="N82" s="319"/>
      <c r="O82" s="353"/>
      <c r="P82" s="177"/>
      <c r="Q82" s="319"/>
      <c r="R82" s="353"/>
      <c r="S82" s="177"/>
      <c r="T82" s="319"/>
      <c r="U82" s="353"/>
      <c r="V82" s="177"/>
      <c r="W82" s="319"/>
      <c r="X82" s="353"/>
      <c r="Y82" s="177"/>
      <c r="Z82" s="319"/>
      <c r="AA82" s="353"/>
      <c r="AB82" s="356"/>
      <c r="AC82" s="357"/>
      <c r="AD82" s="177"/>
      <c r="AE82" s="177"/>
      <c r="AF82" s="319"/>
      <c r="AG82" s="177"/>
      <c r="AH82" s="177"/>
      <c r="AI82" s="319"/>
      <c r="AJ82" s="182"/>
      <c r="AK82" s="182"/>
      <c r="AL82" s="321"/>
      <c r="AM82" s="177"/>
      <c r="AN82" s="177"/>
      <c r="AO82" s="319"/>
      <c r="AP82" s="177"/>
      <c r="AQ82" s="177"/>
      <c r="AR82" s="319"/>
      <c r="AS82" s="177"/>
      <c r="AT82" s="177"/>
      <c r="AU82" s="319"/>
      <c r="AV82" s="177"/>
      <c r="AW82" s="177"/>
      <c r="AX82" s="319"/>
      <c r="AY82" s="177"/>
      <c r="AZ82" s="177"/>
      <c r="BA82" s="319"/>
      <c r="BB82" s="177"/>
      <c r="BC82" s="177"/>
      <c r="BD82" s="319"/>
      <c r="BE82" s="177"/>
      <c r="BF82" s="177"/>
      <c r="BG82" s="319"/>
      <c r="BH82" s="177"/>
      <c r="BI82" s="177"/>
      <c r="BJ82" s="319"/>
      <c r="BK82" s="177"/>
      <c r="BL82" s="177"/>
      <c r="BM82" s="319"/>
      <c r="BN82" s="177"/>
      <c r="BO82" s="177"/>
      <c r="BP82" s="319"/>
      <c r="BQ82" s="177"/>
      <c r="BR82" s="177"/>
      <c r="BS82" s="319"/>
      <c r="BT82" s="177"/>
      <c r="BU82" s="177"/>
      <c r="BV82" s="319"/>
      <c r="BW82" s="177"/>
      <c r="BX82" s="177"/>
      <c r="BY82" s="319"/>
      <c r="BZ82" s="177"/>
      <c r="CA82" s="177"/>
      <c r="CB82" s="319"/>
    </row>
    <row r="83" spans="1:80" ht="15.75" hidden="1" customHeight="1" x14ac:dyDescent="0.25">
      <c r="A83" s="362"/>
      <c r="B83" s="363"/>
      <c r="C83" s="349"/>
      <c r="D83" s="350"/>
      <c r="E83" s="317"/>
      <c r="F83" s="316"/>
      <c r="G83" s="317"/>
      <c r="H83" s="318"/>
      <c r="I83" s="353"/>
      <c r="J83" s="177"/>
      <c r="K83" s="319"/>
      <c r="L83" s="353"/>
      <c r="M83" s="177"/>
      <c r="N83" s="319"/>
      <c r="O83" s="353"/>
      <c r="P83" s="177"/>
      <c r="Q83" s="319"/>
      <c r="R83" s="353"/>
      <c r="S83" s="177"/>
      <c r="T83" s="319"/>
      <c r="U83" s="353"/>
      <c r="V83" s="177"/>
      <c r="W83" s="319"/>
      <c r="X83" s="353"/>
      <c r="Y83" s="177"/>
      <c r="Z83" s="319"/>
      <c r="AA83" s="353"/>
      <c r="AB83" s="356"/>
      <c r="AC83" s="357"/>
      <c r="AD83" s="177"/>
      <c r="AE83" s="177"/>
      <c r="AF83" s="319"/>
      <c r="AG83" s="177"/>
      <c r="AH83" s="177"/>
      <c r="AI83" s="319"/>
      <c r="AJ83" s="182"/>
      <c r="AK83" s="182"/>
      <c r="AL83" s="321"/>
      <c r="AM83" s="177"/>
      <c r="AN83" s="177"/>
      <c r="AO83" s="319"/>
      <c r="AP83" s="177"/>
      <c r="AQ83" s="177"/>
      <c r="AR83" s="319"/>
      <c r="AS83" s="177"/>
      <c r="AT83" s="177"/>
      <c r="AU83" s="319"/>
      <c r="AV83" s="177"/>
      <c r="AW83" s="177"/>
      <c r="AX83" s="319"/>
      <c r="AY83" s="177"/>
      <c r="AZ83" s="177"/>
      <c r="BA83" s="319"/>
      <c r="BB83" s="177"/>
      <c r="BC83" s="177"/>
      <c r="BD83" s="319"/>
      <c r="BE83" s="177"/>
      <c r="BF83" s="177"/>
      <c r="BG83" s="319"/>
      <c r="BH83" s="177"/>
      <c r="BI83" s="177"/>
      <c r="BJ83" s="319"/>
      <c r="BK83" s="177"/>
      <c r="BL83" s="177"/>
      <c r="BM83" s="319"/>
      <c r="BN83" s="177"/>
      <c r="BO83" s="177"/>
      <c r="BP83" s="319"/>
      <c r="BQ83" s="177"/>
      <c r="BR83" s="177"/>
      <c r="BS83" s="319"/>
      <c r="BT83" s="177"/>
      <c r="BU83" s="177"/>
      <c r="BV83" s="319"/>
      <c r="BW83" s="177"/>
      <c r="BX83" s="177"/>
      <c r="BY83" s="319"/>
      <c r="BZ83" s="177"/>
      <c r="CA83" s="177"/>
      <c r="CB83" s="319"/>
    </row>
    <row r="84" spans="1:80" ht="15.75" hidden="1" customHeight="1" x14ac:dyDescent="0.25">
      <c r="A84" s="362"/>
      <c r="B84" s="363"/>
      <c r="C84" s="349"/>
      <c r="D84" s="350"/>
      <c r="E84" s="317"/>
      <c r="F84" s="316"/>
      <c r="G84" s="317"/>
      <c r="H84" s="318"/>
      <c r="I84" s="353"/>
      <c r="J84" s="177"/>
      <c r="K84" s="319"/>
      <c r="L84" s="353"/>
      <c r="M84" s="177"/>
      <c r="N84" s="319"/>
      <c r="O84" s="353"/>
      <c r="P84" s="177"/>
      <c r="Q84" s="319"/>
      <c r="R84" s="353"/>
      <c r="S84" s="177"/>
      <c r="T84" s="319"/>
      <c r="U84" s="353"/>
      <c r="V84" s="177"/>
      <c r="W84" s="319"/>
      <c r="X84" s="353"/>
      <c r="Y84" s="177"/>
      <c r="Z84" s="319"/>
      <c r="AA84" s="353"/>
      <c r="AB84" s="356"/>
      <c r="AC84" s="357"/>
      <c r="AD84" s="177"/>
      <c r="AE84" s="177"/>
      <c r="AF84" s="319"/>
      <c r="AG84" s="177"/>
      <c r="AH84" s="177"/>
      <c r="AI84" s="319"/>
      <c r="AJ84" s="182"/>
      <c r="AK84" s="182"/>
      <c r="AL84" s="321"/>
      <c r="AM84" s="177"/>
      <c r="AN84" s="177"/>
      <c r="AO84" s="319"/>
      <c r="AP84" s="177"/>
      <c r="AQ84" s="177"/>
      <c r="AR84" s="319"/>
      <c r="AS84" s="177"/>
      <c r="AT84" s="177"/>
      <c r="AU84" s="319"/>
      <c r="AV84" s="177"/>
      <c r="AW84" s="177"/>
      <c r="AX84" s="319"/>
      <c r="AY84" s="177"/>
      <c r="AZ84" s="177"/>
      <c r="BA84" s="319"/>
      <c r="BB84" s="177"/>
      <c r="BC84" s="177"/>
      <c r="BD84" s="319"/>
      <c r="BE84" s="177"/>
      <c r="BF84" s="177"/>
      <c r="BG84" s="319"/>
      <c r="BH84" s="177"/>
      <c r="BI84" s="177"/>
      <c r="BJ84" s="319"/>
      <c r="BK84" s="177"/>
      <c r="BL84" s="177"/>
      <c r="BM84" s="319"/>
      <c r="BN84" s="177"/>
      <c r="BO84" s="177"/>
      <c r="BP84" s="319"/>
      <c r="BQ84" s="177"/>
      <c r="BR84" s="177"/>
      <c r="BS84" s="319"/>
      <c r="BT84" s="177"/>
      <c r="BU84" s="177"/>
      <c r="BV84" s="319"/>
      <c r="BW84" s="177"/>
      <c r="BX84" s="177"/>
      <c r="BY84" s="319"/>
      <c r="BZ84" s="177"/>
      <c r="CA84" s="177"/>
      <c r="CB84" s="319"/>
    </row>
    <row r="85" spans="1:80" ht="15.75" hidden="1" customHeight="1" x14ac:dyDescent="0.25">
      <c r="A85" s="362"/>
      <c r="B85" s="363"/>
      <c r="C85" s="349"/>
      <c r="D85" s="350"/>
      <c r="E85" s="317"/>
      <c r="F85" s="316"/>
      <c r="G85" s="317"/>
      <c r="H85" s="318"/>
      <c r="I85" s="353"/>
      <c r="J85" s="177"/>
      <c r="K85" s="319"/>
      <c r="L85" s="353"/>
      <c r="M85" s="177"/>
      <c r="N85" s="319"/>
      <c r="O85" s="353"/>
      <c r="P85" s="177"/>
      <c r="Q85" s="319"/>
      <c r="R85" s="353"/>
      <c r="S85" s="177"/>
      <c r="T85" s="319"/>
      <c r="U85" s="353"/>
      <c r="V85" s="177"/>
      <c r="W85" s="319"/>
      <c r="X85" s="353"/>
      <c r="Y85" s="177"/>
      <c r="Z85" s="319"/>
      <c r="AA85" s="353"/>
      <c r="AB85" s="356"/>
      <c r="AC85" s="357"/>
      <c r="AD85" s="177"/>
      <c r="AE85" s="177"/>
      <c r="AF85" s="319"/>
      <c r="AG85" s="177"/>
      <c r="AH85" s="177"/>
      <c r="AI85" s="319"/>
      <c r="AJ85" s="182"/>
      <c r="AK85" s="182"/>
      <c r="AL85" s="321"/>
      <c r="AM85" s="177"/>
      <c r="AN85" s="177"/>
      <c r="AO85" s="319"/>
      <c r="AP85" s="177"/>
      <c r="AQ85" s="177"/>
      <c r="AR85" s="319"/>
      <c r="AS85" s="177"/>
      <c r="AT85" s="177"/>
      <c r="AU85" s="319"/>
      <c r="AV85" s="177"/>
      <c r="AW85" s="177"/>
      <c r="AX85" s="319"/>
      <c r="AY85" s="177"/>
      <c r="AZ85" s="177"/>
      <c r="BA85" s="319"/>
      <c r="BB85" s="177"/>
      <c r="BC85" s="177"/>
      <c r="BD85" s="319"/>
      <c r="BE85" s="177"/>
      <c r="BF85" s="177"/>
      <c r="BG85" s="319"/>
      <c r="BH85" s="177"/>
      <c r="BI85" s="177"/>
      <c r="BJ85" s="319"/>
      <c r="BK85" s="177"/>
      <c r="BL85" s="177"/>
      <c r="BM85" s="319"/>
      <c r="BN85" s="177"/>
      <c r="BO85" s="177"/>
      <c r="BP85" s="319"/>
      <c r="BQ85" s="177"/>
      <c r="BR85" s="177"/>
      <c r="BS85" s="319"/>
      <c r="BT85" s="177"/>
      <c r="BU85" s="177"/>
      <c r="BV85" s="319"/>
      <c r="BW85" s="177"/>
      <c r="BX85" s="177"/>
      <c r="BY85" s="319"/>
      <c r="BZ85" s="177"/>
      <c r="CA85" s="177"/>
      <c r="CB85" s="319"/>
    </row>
    <row r="86" spans="1:80" ht="15.75" hidden="1" customHeight="1" x14ac:dyDescent="0.25">
      <c r="A86" s="362"/>
      <c r="B86" s="363"/>
      <c r="C86" s="349"/>
      <c r="D86" s="350"/>
      <c r="E86" s="317"/>
      <c r="F86" s="316"/>
      <c r="G86" s="317"/>
      <c r="H86" s="318"/>
      <c r="I86" s="353"/>
      <c r="J86" s="177"/>
      <c r="K86" s="319"/>
      <c r="L86" s="353"/>
      <c r="M86" s="177"/>
      <c r="N86" s="319"/>
      <c r="O86" s="353"/>
      <c r="P86" s="177"/>
      <c r="Q86" s="319"/>
      <c r="R86" s="353"/>
      <c r="S86" s="177"/>
      <c r="T86" s="319"/>
      <c r="U86" s="353"/>
      <c r="V86" s="177"/>
      <c r="W86" s="319"/>
      <c r="X86" s="353"/>
      <c r="Y86" s="177"/>
      <c r="Z86" s="319"/>
      <c r="AA86" s="353"/>
      <c r="AB86" s="356"/>
      <c r="AC86" s="357"/>
      <c r="AD86" s="177"/>
      <c r="AE86" s="177"/>
      <c r="AF86" s="319"/>
      <c r="AG86" s="177"/>
      <c r="AH86" s="177"/>
      <c r="AI86" s="319"/>
      <c r="AJ86" s="182"/>
      <c r="AK86" s="182"/>
      <c r="AL86" s="321"/>
      <c r="AM86" s="177"/>
      <c r="AN86" s="177"/>
      <c r="AO86" s="319"/>
      <c r="AP86" s="177"/>
      <c r="AQ86" s="177"/>
      <c r="AR86" s="319"/>
      <c r="AS86" s="177"/>
      <c r="AT86" s="177"/>
      <c r="AU86" s="319"/>
      <c r="AV86" s="177"/>
      <c r="AW86" s="177"/>
      <c r="AX86" s="319"/>
      <c r="AY86" s="177"/>
      <c r="AZ86" s="177"/>
      <c r="BA86" s="319"/>
      <c r="BB86" s="177"/>
      <c r="BC86" s="177"/>
      <c r="BD86" s="319"/>
      <c r="BE86" s="177"/>
      <c r="BF86" s="177"/>
      <c r="BG86" s="319"/>
      <c r="BH86" s="177"/>
      <c r="BI86" s="177"/>
      <c r="BJ86" s="319"/>
      <c r="BK86" s="177"/>
      <c r="BL86" s="177"/>
      <c r="BM86" s="319"/>
      <c r="BN86" s="177"/>
      <c r="BO86" s="177"/>
      <c r="BP86" s="319"/>
      <c r="BQ86" s="177"/>
      <c r="BR86" s="177"/>
      <c r="BS86" s="319"/>
      <c r="BT86" s="177"/>
      <c r="BU86" s="177"/>
      <c r="BV86" s="319"/>
      <c r="BW86" s="177"/>
      <c r="BX86" s="177"/>
      <c r="BY86" s="319"/>
      <c r="BZ86" s="177"/>
      <c r="CA86" s="177"/>
      <c r="CB86" s="319"/>
    </row>
    <row r="87" spans="1:80" ht="15.75" hidden="1" customHeight="1" x14ac:dyDescent="0.25">
      <c r="A87" s="362"/>
      <c r="B87" s="363"/>
      <c r="C87" s="349"/>
      <c r="D87" s="350"/>
      <c r="E87" s="317"/>
      <c r="F87" s="316"/>
      <c r="G87" s="317"/>
      <c r="H87" s="318"/>
      <c r="I87" s="353"/>
      <c r="J87" s="177"/>
      <c r="K87" s="319"/>
      <c r="L87" s="353"/>
      <c r="M87" s="177"/>
      <c r="N87" s="319"/>
      <c r="O87" s="353"/>
      <c r="P87" s="177"/>
      <c r="Q87" s="319"/>
      <c r="R87" s="353"/>
      <c r="S87" s="177"/>
      <c r="T87" s="319"/>
      <c r="U87" s="353"/>
      <c r="V87" s="177"/>
      <c r="W87" s="319"/>
      <c r="X87" s="353"/>
      <c r="Y87" s="177"/>
      <c r="Z87" s="319"/>
      <c r="AA87" s="353"/>
      <c r="AB87" s="356"/>
      <c r="AC87" s="357"/>
      <c r="AD87" s="177"/>
      <c r="AE87" s="177"/>
      <c r="AF87" s="319"/>
      <c r="AG87" s="177"/>
      <c r="AH87" s="177"/>
      <c r="AI87" s="319"/>
      <c r="AJ87" s="182"/>
      <c r="AK87" s="182"/>
      <c r="AL87" s="321"/>
      <c r="AM87" s="177"/>
      <c r="AN87" s="177"/>
      <c r="AO87" s="319"/>
      <c r="AP87" s="177"/>
      <c r="AQ87" s="177"/>
      <c r="AR87" s="319"/>
      <c r="AS87" s="177"/>
      <c r="AT87" s="177"/>
      <c r="AU87" s="319"/>
      <c r="AV87" s="177"/>
      <c r="AW87" s="177"/>
      <c r="AX87" s="319"/>
      <c r="AY87" s="177"/>
      <c r="AZ87" s="177"/>
      <c r="BA87" s="319"/>
      <c r="BB87" s="177"/>
      <c r="BC87" s="177"/>
      <c r="BD87" s="319"/>
      <c r="BE87" s="177"/>
      <c r="BF87" s="177"/>
      <c r="BG87" s="319"/>
      <c r="BH87" s="177"/>
      <c r="BI87" s="177"/>
      <c r="BJ87" s="319"/>
      <c r="BK87" s="177"/>
      <c r="BL87" s="177"/>
      <c r="BM87" s="319"/>
      <c r="BN87" s="177"/>
      <c r="BO87" s="177"/>
      <c r="BP87" s="319"/>
      <c r="BQ87" s="177"/>
      <c r="BR87" s="177"/>
      <c r="BS87" s="319"/>
      <c r="BT87" s="177"/>
      <c r="BU87" s="177"/>
      <c r="BV87" s="319"/>
      <c r="BW87" s="177"/>
      <c r="BX87" s="177"/>
      <c r="BY87" s="319"/>
      <c r="BZ87" s="177"/>
      <c r="CA87" s="177"/>
      <c r="CB87" s="319"/>
    </row>
    <row r="88" spans="1:80" ht="15.75" hidden="1" customHeight="1" x14ac:dyDescent="0.25">
      <c r="A88" s="362"/>
      <c r="B88" s="363"/>
      <c r="C88" s="349"/>
      <c r="D88" s="350"/>
      <c r="E88" s="317"/>
      <c r="F88" s="316"/>
      <c r="G88" s="317"/>
      <c r="H88" s="318"/>
      <c r="I88" s="353"/>
      <c r="J88" s="177"/>
      <c r="K88" s="319"/>
      <c r="L88" s="353"/>
      <c r="M88" s="177"/>
      <c r="N88" s="319"/>
      <c r="O88" s="353"/>
      <c r="P88" s="177"/>
      <c r="Q88" s="319"/>
      <c r="R88" s="353"/>
      <c r="S88" s="177"/>
      <c r="T88" s="319"/>
      <c r="U88" s="353"/>
      <c r="V88" s="177"/>
      <c r="W88" s="319"/>
      <c r="X88" s="353"/>
      <c r="Y88" s="177"/>
      <c r="Z88" s="319"/>
      <c r="AA88" s="353"/>
      <c r="AB88" s="356"/>
      <c r="AC88" s="357"/>
      <c r="AD88" s="177"/>
      <c r="AE88" s="177"/>
      <c r="AF88" s="319"/>
      <c r="AG88" s="177"/>
      <c r="AH88" s="177"/>
      <c r="AI88" s="319"/>
      <c r="AJ88" s="182"/>
      <c r="AK88" s="182"/>
      <c r="AL88" s="321"/>
      <c r="AM88" s="177"/>
      <c r="AN88" s="177"/>
      <c r="AO88" s="319"/>
      <c r="AP88" s="177"/>
      <c r="AQ88" s="177"/>
      <c r="AR88" s="319"/>
      <c r="AS88" s="177"/>
      <c r="AT88" s="177"/>
      <c r="AU88" s="319"/>
      <c r="AV88" s="177"/>
      <c r="AW88" s="177"/>
      <c r="AX88" s="319"/>
      <c r="AY88" s="177"/>
      <c r="AZ88" s="177"/>
      <c r="BA88" s="319"/>
      <c r="BB88" s="177"/>
      <c r="BC88" s="177"/>
      <c r="BD88" s="319"/>
      <c r="BE88" s="177"/>
      <c r="BF88" s="177"/>
      <c r="BG88" s="319"/>
      <c r="BH88" s="177"/>
      <c r="BI88" s="177"/>
      <c r="BJ88" s="319"/>
      <c r="BK88" s="177"/>
      <c r="BL88" s="177"/>
      <c r="BM88" s="319"/>
      <c r="BN88" s="177"/>
      <c r="BO88" s="177"/>
      <c r="BP88" s="319"/>
      <c r="BQ88" s="177"/>
      <c r="BR88" s="177"/>
      <c r="BS88" s="319"/>
      <c r="BT88" s="177"/>
      <c r="BU88" s="177"/>
      <c r="BV88" s="319"/>
      <c r="BW88" s="177"/>
      <c r="BX88" s="177"/>
      <c r="BY88" s="319"/>
      <c r="BZ88" s="177"/>
      <c r="CA88" s="177"/>
      <c r="CB88" s="319"/>
    </row>
    <row r="89" spans="1:80" ht="15.75" hidden="1" customHeight="1" x14ac:dyDescent="0.25">
      <c r="A89" s="362"/>
      <c r="B89" s="363"/>
      <c r="C89" s="349"/>
      <c r="D89" s="350"/>
      <c r="E89" s="317"/>
      <c r="F89" s="316"/>
      <c r="G89" s="317"/>
      <c r="H89" s="318"/>
      <c r="I89" s="353"/>
      <c r="J89" s="177"/>
      <c r="K89" s="319"/>
      <c r="L89" s="353"/>
      <c r="M89" s="177"/>
      <c r="N89" s="319"/>
      <c r="O89" s="353"/>
      <c r="P89" s="177"/>
      <c r="Q89" s="319"/>
      <c r="R89" s="353"/>
      <c r="S89" s="177"/>
      <c r="T89" s="319"/>
      <c r="U89" s="353"/>
      <c r="V89" s="177"/>
      <c r="W89" s="319"/>
      <c r="X89" s="353"/>
      <c r="Y89" s="177"/>
      <c r="Z89" s="319"/>
      <c r="AA89" s="353"/>
      <c r="AB89" s="356"/>
      <c r="AC89" s="357"/>
      <c r="AD89" s="177"/>
      <c r="AE89" s="177"/>
      <c r="AF89" s="319"/>
      <c r="AG89" s="177"/>
      <c r="AH89" s="177"/>
      <c r="AI89" s="319"/>
      <c r="AJ89" s="182"/>
      <c r="AK89" s="182"/>
      <c r="AL89" s="321"/>
      <c r="AM89" s="177"/>
      <c r="AN89" s="177"/>
      <c r="AO89" s="319"/>
      <c r="AP89" s="177"/>
      <c r="AQ89" s="177"/>
      <c r="AR89" s="319"/>
      <c r="AS89" s="177"/>
      <c r="AT89" s="177"/>
      <c r="AU89" s="319"/>
      <c r="AV89" s="177"/>
      <c r="AW89" s="177"/>
      <c r="AX89" s="319"/>
      <c r="AY89" s="177"/>
      <c r="AZ89" s="177"/>
      <c r="BA89" s="319"/>
      <c r="BB89" s="177"/>
      <c r="BC89" s="177"/>
      <c r="BD89" s="319"/>
      <c r="BE89" s="177"/>
      <c r="BF89" s="177"/>
      <c r="BG89" s="319"/>
      <c r="BH89" s="177"/>
      <c r="BI89" s="177"/>
      <c r="BJ89" s="319"/>
      <c r="BK89" s="177"/>
      <c r="BL89" s="177"/>
      <c r="BM89" s="319"/>
      <c r="BN89" s="177"/>
      <c r="BO89" s="177"/>
      <c r="BP89" s="319"/>
      <c r="BQ89" s="177"/>
      <c r="BR89" s="177"/>
      <c r="BS89" s="319"/>
      <c r="BT89" s="177"/>
      <c r="BU89" s="177"/>
      <c r="BV89" s="319"/>
      <c r="BW89" s="177"/>
      <c r="BX89" s="177"/>
      <c r="BY89" s="319"/>
      <c r="BZ89" s="177"/>
      <c r="CA89" s="177"/>
      <c r="CB89" s="319"/>
    </row>
    <row r="90" spans="1:80" ht="15.75" hidden="1" customHeight="1" x14ac:dyDescent="0.25">
      <c r="A90" s="362"/>
      <c r="B90" s="363"/>
      <c r="C90" s="349"/>
      <c r="D90" s="350"/>
      <c r="E90" s="317"/>
      <c r="F90" s="316"/>
      <c r="G90" s="317"/>
      <c r="H90" s="318"/>
      <c r="I90" s="353"/>
      <c r="J90" s="177"/>
      <c r="K90" s="319"/>
      <c r="L90" s="353"/>
      <c r="M90" s="177"/>
      <c r="N90" s="319"/>
      <c r="O90" s="353"/>
      <c r="P90" s="177"/>
      <c r="Q90" s="319"/>
      <c r="R90" s="353"/>
      <c r="S90" s="177"/>
      <c r="T90" s="319"/>
      <c r="U90" s="353"/>
      <c r="V90" s="177"/>
      <c r="W90" s="319"/>
      <c r="X90" s="353"/>
      <c r="Y90" s="177"/>
      <c r="Z90" s="319"/>
      <c r="AA90" s="353"/>
      <c r="AB90" s="356"/>
      <c r="AC90" s="357"/>
      <c r="AD90" s="177"/>
      <c r="AE90" s="177"/>
      <c r="AF90" s="319"/>
      <c r="AG90" s="177"/>
      <c r="AH90" s="177"/>
      <c r="AI90" s="319"/>
      <c r="AJ90" s="182"/>
      <c r="AK90" s="182"/>
      <c r="AL90" s="321"/>
      <c r="AM90" s="177"/>
      <c r="AN90" s="177"/>
      <c r="AO90" s="319"/>
      <c r="AP90" s="177"/>
      <c r="AQ90" s="177"/>
      <c r="AR90" s="319"/>
      <c r="AS90" s="177"/>
      <c r="AT90" s="177"/>
      <c r="AU90" s="319"/>
      <c r="AV90" s="177"/>
      <c r="AW90" s="177"/>
      <c r="AX90" s="319"/>
      <c r="AY90" s="177"/>
      <c r="AZ90" s="177"/>
      <c r="BA90" s="319"/>
      <c r="BB90" s="177"/>
      <c r="BC90" s="177"/>
      <c r="BD90" s="319"/>
      <c r="BE90" s="177"/>
      <c r="BF90" s="177"/>
      <c r="BG90" s="319"/>
      <c r="BH90" s="177"/>
      <c r="BI90" s="177"/>
      <c r="BJ90" s="319"/>
      <c r="BK90" s="177"/>
      <c r="BL90" s="177"/>
      <c r="BM90" s="319"/>
      <c r="BN90" s="177"/>
      <c r="BO90" s="177"/>
      <c r="BP90" s="319"/>
      <c r="BQ90" s="177"/>
      <c r="BR90" s="177"/>
      <c r="BS90" s="319"/>
      <c r="BT90" s="177"/>
      <c r="BU90" s="177"/>
      <c r="BV90" s="319"/>
      <c r="BW90" s="177"/>
      <c r="BX90" s="177"/>
      <c r="BY90" s="319"/>
      <c r="BZ90" s="177"/>
      <c r="CA90" s="177"/>
      <c r="CB90" s="319"/>
    </row>
    <row r="91" spans="1:80" ht="15.75" hidden="1" customHeight="1" x14ac:dyDescent="0.25">
      <c r="A91" s="362"/>
      <c r="B91" s="363"/>
      <c r="C91" s="349"/>
      <c r="D91" s="350"/>
      <c r="E91" s="317"/>
      <c r="F91" s="316"/>
      <c r="G91" s="317"/>
      <c r="H91" s="318"/>
      <c r="I91" s="353"/>
      <c r="J91" s="177"/>
      <c r="K91" s="319"/>
      <c r="L91" s="353"/>
      <c r="M91" s="177"/>
      <c r="N91" s="319"/>
      <c r="O91" s="353"/>
      <c r="P91" s="177"/>
      <c r="Q91" s="319"/>
      <c r="R91" s="353"/>
      <c r="S91" s="177"/>
      <c r="T91" s="319"/>
      <c r="U91" s="353"/>
      <c r="V91" s="177"/>
      <c r="W91" s="319"/>
      <c r="X91" s="353"/>
      <c r="Y91" s="177"/>
      <c r="Z91" s="319"/>
      <c r="AA91" s="353"/>
      <c r="AB91" s="356"/>
      <c r="AC91" s="357"/>
      <c r="AD91" s="177"/>
      <c r="AE91" s="177"/>
      <c r="AF91" s="319"/>
      <c r="AG91" s="177"/>
      <c r="AH91" s="177"/>
      <c r="AI91" s="319"/>
      <c r="AJ91" s="182"/>
      <c r="AK91" s="182"/>
      <c r="AL91" s="321"/>
      <c r="AM91" s="177"/>
      <c r="AN91" s="177"/>
      <c r="AO91" s="319"/>
      <c r="AP91" s="177"/>
      <c r="AQ91" s="177"/>
      <c r="AR91" s="319"/>
      <c r="AS91" s="177"/>
      <c r="AT91" s="177"/>
      <c r="AU91" s="319"/>
      <c r="AV91" s="177"/>
      <c r="AW91" s="177"/>
      <c r="AX91" s="319"/>
      <c r="AY91" s="177"/>
      <c r="AZ91" s="177"/>
      <c r="BA91" s="319"/>
      <c r="BB91" s="177"/>
      <c r="BC91" s="177"/>
      <c r="BD91" s="319"/>
      <c r="BE91" s="177"/>
      <c r="BF91" s="177"/>
      <c r="BG91" s="319"/>
      <c r="BH91" s="177"/>
      <c r="BI91" s="177"/>
      <c r="BJ91" s="319"/>
      <c r="BK91" s="177"/>
      <c r="BL91" s="177"/>
      <c r="BM91" s="319"/>
      <c r="BN91" s="177"/>
      <c r="BO91" s="177"/>
      <c r="BP91" s="319"/>
      <c r="BQ91" s="177"/>
      <c r="BR91" s="177"/>
      <c r="BS91" s="319"/>
      <c r="BT91" s="177"/>
      <c r="BU91" s="177"/>
      <c r="BV91" s="319"/>
      <c r="BW91" s="177"/>
      <c r="BX91" s="177"/>
      <c r="BY91" s="319"/>
      <c r="BZ91" s="177"/>
      <c r="CA91" s="177"/>
      <c r="CB91" s="319"/>
    </row>
    <row r="92" spans="1:80" ht="15.75" hidden="1" customHeight="1" x14ac:dyDescent="0.25">
      <c r="A92" s="362"/>
      <c r="B92" s="363"/>
      <c r="C92" s="349"/>
      <c r="D92" s="350"/>
      <c r="E92" s="317"/>
      <c r="F92" s="316"/>
      <c r="G92" s="317"/>
      <c r="H92" s="318"/>
      <c r="I92" s="353"/>
      <c r="J92" s="177"/>
      <c r="K92" s="319"/>
      <c r="L92" s="353"/>
      <c r="M92" s="177"/>
      <c r="N92" s="319"/>
      <c r="O92" s="353"/>
      <c r="P92" s="177"/>
      <c r="Q92" s="319"/>
      <c r="R92" s="353"/>
      <c r="S92" s="177"/>
      <c r="T92" s="319"/>
      <c r="U92" s="353"/>
      <c r="V92" s="177"/>
      <c r="W92" s="319"/>
      <c r="X92" s="353"/>
      <c r="Y92" s="177"/>
      <c r="Z92" s="319"/>
      <c r="AA92" s="353"/>
      <c r="AB92" s="356"/>
      <c r="AC92" s="357"/>
      <c r="AD92" s="177"/>
      <c r="AE92" s="177"/>
      <c r="AF92" s="319"/>
      <c r="AG92" s="177"/>
      <c r="AH92" s="177"/>
      <c r="AI92" s="319"/>
      <c r="AJ92" s="182"/>
      <c r="AK92" s="182"/>
      <c r="AL92" s="321"/>
      <c r="AM92" s="177"/>
      <c r="AN92" s="177"/>
      <c r="AO92" s="319"/>
      <c r="AP92" s="177"/>
      <c r="AQ92" s="177"/>
      <c r="AR92" s="319"/>
      <c r="AS92" s="177"/>
      <c r="AT92" s="177"/>
      <c r="AU92" s="319"/>
      <c r="AV92" s="177"/>
      <c r="AW92" s="177"/>
      <c r="AX92" s="319"/>
      <c r="AY92" s="177"/>
      <c r="AZ92" s="177"/>
      <c r="BA92" s="319"/>
      <c r="BB92" s="177"/>
      <c r="BC92" s="177"/>
      <c r="BD92" s="319"/>
      <c r="BE92" s="177"/>
      <c r="BF92" s="177"/>
      <c r="BG92" s="319"/>
      <c r="BH92" s="177"/>
      <c r="BI92" s="177"/>
      <c r="BJ92" s="319"/>
      <c r="BK92" s="177"/>
      <c r="BL92" s="177"/>
      <c r="BM92" s="319"/>
      <c r="BN92" s="177"/>
      <c r="BO92" s="177"/>
      <c r="BP92" s="319"/>
      <c r="BQ92" s="177"/>
      <c r="BR92" s="177"/>
      <c r="BS92" s="319"/>
      <c r="BT92" s="177"/>
      <c r="BU92" s="177"/>
      <c r="BV92" s="319"/>
      <c r="BW92" s="177"/>
      <c r="BX92" s="177"/>
      <c r="BY92" s="319"/>
      <c r="BZ92" s="177"/>
      <c r="CA92" s="177"/>
      <c r="CB92" s="319"/>
    </row>
    <row r="93" spans="1:80" ht="15.75" hidden="1" customHeight="1" x14ac:dyDescent="0.25">
      <c r="A93" s="362"/>
      <c r="B93" s="363"/>
      <c r="C93" s="349"/>
      <c r="D93" s="350"/>
      <c r="E93" s="317"/>
      <c r="F93" s="316"/>
      <c r="G93" s="317"/>
      <c r="H93" s="318"/>
      <c r="I93" s="353"/>
      <c r="J93" s="177"/>
      <c r="K93" s="319"/>
      <c r="L93" s="353"/>
      <c r="M93" s="177"/>
      <c r="N93" s="319"/>
      <c r="O93" s="353"/>
      <c r="P93" s="177"/>
      <c r="Q93" s="319"/>
      <c r="R93" s="353"/>
      <c r="S93" s="177"/>
      <c r="T93" s="319"/>
      <c r="U93" s="353"/>
      <c r="V93" s="177"/>
      <c r="W93" s="319"/>
      <c r="X93" s="353"/>
      <c r="Y93" s="177"/>
      <c r="Z93" s="319"/>
      <c r="AA93" s="353"/>
      <c r="AB93" s="356"/>
      <c r="AC93" s="357"/>
      <c r="AD93" s="177"/>
      <c r="AE93" s="177"/>
      <c r="AF93" s="319"/>
      <c r="AG93" s="177"/>
      <c r="AH93" s="177"/>
      <c r="AI93" s="319"/>
      <c r="AJ93" s="182"/>
      <c r="AK93" s="182"/>
      <c r="AL93" s="321"/>
      <c r="AM93" s="177"/>
      <c r="AN93" s="177"/>
      <c r="AO93" s="319"/>
      <c r="AP93" s="177"/>
      <c r="AQ93" s="177"/>
      <c r="AR93" s="319"/>
      <c r="AS93" s="177"/>
      <c r="AT93" s="177"/>
      <c r="AU93" s="319"/>
      <c r="AV93" s="177"/>
      <c r="AW93" s="177"/>
      <c r="AX93" s="319"/>
      <c r="AY93" s="177"/>
      <c r="AZ93" s="177"/>
      <c r="BA93" s="319"/>
      <c r="BB93" s="177"/>
      <c r="BC93" s="177"/>
      <c r="BD93" s="319"/>
      <c r="BE93" s="177"/>
      <c r="BF93" s="177"/>
      <c r="BG93" s="319"/>
      <c r="BH93" s="177"/>
      <c r="BI93" s="177"/>
      <c r="BJ93" s="319"/>
      <c r="BK93" s="177"/>
      <c r="BL93" s="177"/>
      <c r="BM93" s="319"/>
      <c r="BN93" s="177"/>
      <c r="BO93" s="177"/>
      <c r="BP93" s="319"/>
      <c r="BQ93" s="177"/>
      <c r="BR93" s="177"/>
      <c r="BS93" s="319"/>
      <c r="BT93" s="177"/>
      <c r="BU93" s="177"/>
      <c r="BV93" s="319"/>
      <c r="BW93" s="177"/>
      <c r="BX93" s="177"/>
      <c r="BY93" s="319"/>
      <c r="BZ93" s="177"/>
      <c r="CA93" s="177"/>
      <c r="CB93" s="319"/>
    </row>
    <row r="94" spans="1:80" ht="15.75" hidden="1" customHeight="1" x14ac:dyDescent="0.25">
      <c r="A94" s="362"/>
      <c r="B94" s="363"/>
      <c r="C94" s="349"/>
      <c r="D94" s="350"/>
      <c r="E94" s="317"/>
      <c r="F94" s="316"/>
      <c r="G94" s="317"/>
      <c r="H94" s="318"/>
      <c r="I94" s="353"/>
      <c r="J94" s="177"/>
      <c r="K94" s="319"/>
      <c r="L94" s="353"/>
      <c r="M94" s="177"/>
      <c r="N94" s="319"/>
      <c r="O94" s="353"/>
      <c r="P94" s="177"/>
      <c r="Q94" s="319"/>
      <c r="R94" s="353"/>
      <c r="S94" s="177"/>
      <c r="T94" s="319"/>
      <c r="U94" s="353"/>
      <c r="V94" s="177"/>
      <c r="W94" s="319"/>
      <c r="X94" s="353"/>
      <c r="Y94" s="177"/>
      <c r="Z94" s="319"/>
      <c r="AA94" s="353"/>
      <c r="AB94" s="356"/>
      <c r="AC94" s="357"/>
      <c r="AD94" s="177"/>
      <c r="AE94" s="177"/>
      <c r="AF94" s="319"/>
      <c r="AG94" s="177"/>
      <c r="AH94" s="177"/>
      <c r="AI94" s="319"/>
      <c r="AJ94" s="182"/>
      <c r="AK94" s="182"/>
      <c r="AL94" s="321"/>
      <c r="AM94" s="177"/>
      <c r="AN94" s="177"/>
      <c r="AO94" s="319"/>
      <c r="AP94" s="177"/>
      <c r="AQ94" s="177"/>
      <c r="AR94" s="319"/>
      <c r="AS94" s="177"/>
      <c r="AT94" s="177"/>
      <c r="AU94" s="319"/>
      <c r="AV94" s="177"/>
      <c r="AW94" s="177"/>
      <c r="AX94" s="319"/>
      <c r="AY94" s="177"/>
      <c r="AZ94" s="177"/>
      <c r="BA94" s="319"/>
      <c r="BB94" s="177"/>
      <c r="BC94" s="177"/>
      <c r="BD94" s="319"/>
      <c r="BE94" s="177"/>
      <c r="BF94" s="177"/>
      <c r="BG94" s="319"/>
      <c r="BH94" s="177"/>
      <c r="BI94" s="177"/>
      <c r="BJ94" s="319"/>
      <c r="BK94" s="177"/>
      <c r="BL94" s="177"/>
      <c r="BM94" s="319"/>
      <c r="BN94" s="177"/>
      <c r="BO94" s="177"/>
      <c r="BP94" s="319"/>
      <c r="BQ94" s="177"/>
      <c r="BR94" s="177"/>
      <c r="BS94" s="319"/>
      <c r="BT94" s="177"/>
      <c r="BU94" s="177"/>
      <c r="BV94" s="319"/>
      <c r="BW94" s="177"/>
      <c r="BX94" s="177"/>
      <c r="BY94" s="319"/>
      <c r="BZ94" s="177"/>
      <c r="CA94" s="177"/>
      <c r="CB94" s="319"/>
    </row>
    <row r="95" spans="1:80" ht="15.75" hidden="1" customHeight="1" x14ac:dyDescent="0.25">
      <c r="A95" s="362"/>
      <c r="B95" s="363"/>
      <c r="C95" s="349"/>
      <c r="D95" s="350"/>
      <c r="E95" s="317"/>
      <c r="F95" s="316"/>
      <c r="G95" s="317"/>
      <c r="H95" s="318"/>
      <c r="I95" s="353"/>
      <c r="J95" s="177"/>
      <c r="K95" s="319"/>
      <c r="L95" s="353"/>
      <c r="M95" s="177"/>
      <c r="N95" s="319"/>
      <c r="O95" s="353"/>
      <c r="P95" s="177"/>
      <c r="Q95" s="319"/>
      <c r="R95" s="353"/>
      <c r="S95" s="177"/>
      <c r="T95" s="319"/>
      <c r="U95" s="353"/>
      <c r="V95" s="177"/>
      <c r="W95" s="319"/>
      <c r="X95" s="353"/>
      <c r="Y95" s="177"/>
      <c r="Z95" s="319"/>
      <c r="AA95" s="353"/>
      <c r="AB95" s="356"/>
      <c r="AC95" s="357"/>
      <c r="AD95" s="177"/>
      <c r="AE95" s="177"/>
      <c r="AF95" s="319"/>
      <c r="AG95" s="177"/>
      <c r="AH95" s="177"/>
      <c r="AI95" s="319"/>
      <c r="AJ95" s="182"/>
      <c r="AK95" s="182"/>
      <c r="AL95" s="321"/>
      <c r="AM95" s="177"/>
      <c r="AN95" s="177"/>
      <c r="AO95" s="319"/>
      <c r="AP95" s="177"/>
      <c r="AQ95" s="177"/>
      <c r="AR95" s="319"/>
      <c r="AS95" s="177"/>
      <c r="AT95" s="177"/>
      <c r="AU95" s="319"/>
      <c r="AV95" s="177"/>
      <c r="AW95" s="177"/>
      <c r="AX95" s="319"/>
      <c r="AY95" s="177"/>
      <c r="AZ95" s="177"/>
      <c r="BA95" s="319"/>
      <c r="BB95" s="177"/>
      <c r="BC95" s="177"/>
      <c r="BD95" s="319"/>
      <c r="BE95" s="177"/>
      <c r="BF95" s="177"/>
      <c r="BG95" s="319"/>
      <c r="BH95" s="177"/>
      <c r="BI95" s="177"/>
      <c r="BJ95" s="319"/>
      <c r="BK95" s="177"/>
      <c r="BL95" s="177"/>
      <c r="BM95" s="319"/>
      <c r="BN95" s="177"/>
      <c r="BO95" s="177"/>
      <c r="BP95" s="319"/>
      <c r="BQ95" s="177"/>
      <c r="BR95" s="177"/>
      <c r="BS95" s="319"/>
      <c r="BT95" s="177"/>
      <c r="BU95" s="177"/>
      <c r="BV95" s="319"/>
      <c r="BW95" s="177"/>
      <c r="BX95" s="177"/>
      <c r="BY95" s="319"/>
      <c r="BZ95" s="177"/>
      <c r="CA95" s="177"/>
      <c r="CB95" s="319"/>
    </row>
    <row r="96" spans="1:80" ht="15.75" hidden="1" customHeight="1" x14ac:dyDescent="0.25">
      <c r="A96" s="362"/>
      <c r="B96" s="363"/>
      <c r="C96" s="349"/>
      <c r="D96" s="350"/>
      <c r="E96" s="317"/>
      <c r="F96" s="316"/>
      <c r="G96" s="317"/>
      <c r="H96" s="318"/>
      <c r="I96" s="353"/>
      <c r="J96" s="177"/>
      <c r="K96" s="319"/>
      <c r="L96" s="353"/>
      <c r="M96" s="177"/>
      <c r="N96" s="319"/>
      <c r="O96" s="353"/>
      <c r="P96" s="177"/>
      <c r="Q96" s="319"/>
      <c r="R96" s="353"/>
      <c r="S96" s="177"/>
      <c r="T96" s="319"/>
      <c r="U96" s="353"/>
      <c r="V96" s="177"/>
      <c r="W96" s="319"/>
      <c r="X96" s="353"/>
      <c r="Y96" s="177"/>
      <c r="Z96" s="319"/>
      <c r="AA96" s="353"/>
      <c r="AB96" s="356"/>
      <c r="AC96" s="357"/>
      <c r="AD96" s="177"/>
      <c r="AE96" s="177"/>
      <c r="AF96" s="319"/>
      <c r="AG96" s="177"/>
      <c r="AH96" s="177"/>
      <c r="AI96" s="319"/>
      <c r="AJ96" s="182"/>
      <c r="AK96" s="182"/>
      <c r="AL96" s="321"/>
      <c r="AM96" s="177"/>
      <c r="AN96" s="177"/>
      <c r="AO96" s="319"/>
      <c r="AP96" s="177"/>
      <c r="AQ96" s="177"/>
      <c r="AR96" s="319"/>
      <c r="AS96" s="177"/>
      <c r="AT96" s="177"/>
      <c r="AU96" s="319"/>
      <c r="AV96" s="177"/>
      <c r="AW96" s="177"/>
      <c r="AX96" s="319"/>
      <c r="AY96" s="177"/>
      <c r="AZ96" s="177"/>
      <c r="BA96" s="319"/>
      <c r="BB96" s="177"/>
      <c r="BC96" s="177"/>
      <c r="BD96" s="319"/>
      <c r="BE96" s="177"/>
      <c r="BF96" s="177"/>
      <c r="BG96" s="319"/>
      <c r="BH96" s="177"/>
      <c r="BI96" s="177"/>
      <c r="BJ96" s="319"/>
      <c r="BK96" s="177"/>
      <c r="BL96" s="177"/>
      <c r="BM96" s="319"/>
      <c r="BN96" s="177"/>
      <c r="BO96" s="177"/>
      <c r="BP96" s="319"/>
      <c r="BQ96" s="177"/>
      <c r="BR96" s="177"/>
      <c r="BS96" s="319"/>
      <c r="BT96" s="177"/>
      <c r="BU96" s="177"/>
      <c r="BV96" s="319"/>
      <c r="BW96" s="177"/>
      <c r="BX96" s="177"/>
      <c r="BY96" s="319"/>
      <c r="BZ96" s="177"/>
      <c r="CA96" s="177"/>
      <c r="CB96" s="319"/>
    </row>
    <row r="97" spans="1:80" ht="15.75" hidden="1" customHeight="1" x14ac:dyDescent="0.25">
      <c r="A97" s="362"/>
      <c r="B97" s="363"/>
      <c r="C97" s="349"/>
      <c r="D97" s="350"/>
      <c r="E97" s="317"/>
      <c r="F97" s="316"/>
      <c r="G97" s="317"/>
      <c r="H97" s="318"/>
      <c r="I97" s="353"/>
      <c r="J97" s="177"/>
      <c r="K97" s="319"/>
      <c r="L97" s="353"/>
      <c r="M97" s="177"/>
      <c r="N97" s="319"/>
      <c r="O97" s="353"/>
      <c r="P97" s="177"/>
      <c r="Q97" s="319"/>
      <c r="R97" s="353"/>
      <c r="S97" s="177"/>
      <c r="T97" s="319"/>
      <c r="U97" s="353"/>
      <c r="V97" s="177"/>
      <c r="W97" s="319"/>
      <c r="X97" s="353"/>
      <c r="Y97" s="177"/>
      <c r="Z97" s="319"/>
      <c r="AA97" s="353"/>
      <c r="AB97" s="356"/>
      <c r="AC97" s="357"/>
      <c r="AD97" s="177"/>
      <c r="AE97" s="177"/>
      <c r="AF97" s="319"/>
      <c r="AG97" s="177"/>
      <c r="AH97" s="177"/>
      <c r="AI97" s="319"/>
      <c r="AJ97" s="182"/>
      <c r="AK97" s="182"/>
      <c r="AL97" s="321"/>
      <c r="AM97" s="177"/>
      <c r="AN97" s="177"/>
      <c r="AO97" s="319"/>
      <c r="AP97" s="177"/>
      <c r="AQ97" s="177"/>
      <c r="AR97" s="319"/>
      <c r="AS97" s="177"/>
      <c r="AT97" s="177"/>
      <c r="AU97" s="319"/>
      <c r="AV97" s="177"/>
      <c r="AW97" s="177"/>
      <c r="AX97" s="319"/>
      <c r="AY97" s="177"/>
      <c r="AZ97" s="177"/>
      <c r="BA97" s="319"/>
      <c r="BB97" s="177"/>
      <c r="BC97" s="177"/>
      <c r="BD97" s="319"/>
      <c r="BE97" s="177"/>
      <c r="BF97" s="177"/>
      <c r="BG97" s="319"/>
      <c r="BH97" s="177"/>
      <c r="BI97" s="177"/>
      <c r="BJ97" s="319"/>
      <c r="BK97" s="177"/>
      <c r="BL97" s="177"/>
      <c r="BM97" s="319"/>
      <c r="BN97" s="177"/>
      <c r="BO97" s="177"/>
      <c r="BP97" s="319"/>
      <c r="BQ97" s="177"/>
      <c r="BR97" s="177"/>
      <c r="BS97" s="319"/>
      <c r="BT97" s="177"/>
      <c r="BU97" s="177"/>
      <c r="BV97" s="319"/>
      <c r="BW97" s="177"/>
      <c r="BX97" s="177"/>
      <c r="BY97" s="319"/>
      <c r="BZ97" s="177"/>
      <c r="CA97" s="177"/>
      <c r="CB97" s="319"/>
    </row>
    <row r="98" spans="1:80" ht="15.75" hidden="1" customHeight="1" x14ac:dyDescent="0.25">
      <c r="A98" s="362"/>
      <c r="B98" s="363"/>
      <c r="C98" s="349"/>
      <c r="D98" s="350"/>
      <c r="E98" s="317"/>
      <c r="F98" s="316"/>
      <c r="G98" s="317"/>
      <c r="H98" s="318"/>
      <c r="I98" s="353"/>
      <c r="J98" s="177"/>
      <c r="K98" s="319"/>
      <c r="L98" s="353"/>
      <c r="M98" s="177"/>
      <c r="N98" s="319"/>
      <c r="O98" s="353"/>
      <c r="P98" s="177"/>
      <c r="Q98" s="319"/>
      <c r="R98" s="353"/>
      <c r="S98" s="177"/>
      <c r="T98" s="319"/>
      <c r="U98" s="353"/>
      <c r="V98" s="177"/>
      <c r="W98" s="319"/>
      <c r="X98" s="353"/>
      <c r="Y98" s="177"/>
      <c r="Z98" s="319"/>
      <c r="AA98" s="353"/>
      <c r="AB98" s="356"/>
      <c r="AC98" s="357"/>
      <c r="AD98" s="177"/>
      <c r="AE98" s="177"/>
      <c r="AF98" s="319"/>
      <c r="AG98" s="177"/>
      <c r="AH98" s="177"/>
      <c r="AI98" s="319"/>
      <c r="AJ98" s="182"/>
      <c r="AK98" s="182"/>
      <c r="AL98" s="321"/>
      <c r="AM98" s="177"/>
      <c r="AN98" s="177"/>
      <c r="AO98" s="319"/>
      <c r="AP98" s="177"/>
      <c r="AQ98" s="177"/>
      <c r="AR98" s="319"/>
      <c r="AS98" s="177"/>
      <c r="AT98" s="177"/>
      <c r="AU98" s="319"/>
      <c r="AV98" s="177"/>
      <c r="AW98" s="177"/>
      <c r="AX98" s="319"/>
      <c r="AY98" s="177"/>
      <c r="AZ98" s="177"/>
      <c r="BA98" s="319"/>
      <c r="BB98" s="177"/>
      <c r="BC98" s="177"/>
      <c r="BD98" s="319"/>
      <c r="BE98" s="177"/>
      <c r="BF98" s="177"/>
      <c r="BG98" s="319"/>
      <c r="BH98" s="177"/>
      <c r="BI98" s="177"/>
      <c r="BJ98" s="319"/>
      <c r="BK98" s="177"/>
      <c r="BL98" s="177"/>
      <c r="BM98" s="319"/>
      <c r="BN98" s="177"/>
      <c r="BO98" s="177"/>
      <c r="BP98" s="319"/>
      <c r="BQ98" s="177"/>
      <c r="BR98" s="177"/>
      <c r="BS98" s="319"/>
      <c r="BT98" s="177"/>
      <c r="BU98" s="177"/>
      <c r="BV98" s="319"/>
      <c r="BW98" s="177"/>
      <c r="BX98" s="177"/>
      <c r="BY98" s="319"/>
      <c r="BZ98" s="177"/>
      <c r="CA98" s="177"/>
      <c r="CB98" s="319"/>
    </row>
    <row r="99" spans="1:80" ht="15.75" hidden="1" customHeight="1" x14ac:dyDescent="0.25">
      <c r="A99" s="362"/>
      <c r="B99" s="363"/>
      <c r="C99" s="349"/>
      <c r="D99" s="350"/>
      <c r="E99" s="317"/>
      <c r="F99" s="316"/>
      <c r="G99" s="317"/>
      <c r="H99" s="318"/>
      <c r="I99" s="353"/>
      <c r="J99" s="177"/>
      <c r="K99" s="319"/>
      <c r="L99" s="353"/>
      <c r="M99" s="177"/>
      <c r="N99" s="319"/>
      <c r="O99" s="353"/>
      <c r="P99" s="177"/>
      <c r="Q99" s="319"/>
      <c r="R99" s="353"/>
      <c r="S99" s="177"/>
      <c r="T99" s="319"/>
      <c r="U99" s="353"/>
      <c r="V99" s="177"/>
      <c r="W99" s="319"/>
      <c r="X99" s="353"/>
      <c r="Y99" s="177"/>
      <c r="Z99" s="319"/>
      <c r="AA99" s="353"/>
      <c r="AB99" s="356"/>
      <c r="AC99" s="357"/>
      <c r="AD99" s="177"/>
      <c r="AE99" s="177"/>
      <c r="AF99" s="319"/>
      <c r="AG99" s="177"/>
      <c r="AH99" s="177"/>
      <c r="AI99" s="319"/>
      <c r="AJ99" s="182"/>
      <c r="AK99" s="182"/>
      <c r="AL99" s="321"/>
      <c r="AM99" s="177"/>
      <c r="AN99" s="177"/>
      <c r="AO99" s="319"/>
      <c r="AP99" s="177"/>
      <c r="AQ99" s="177"/>
      <c r="AR99" s="319"/>
      <c r="AS99" s="177"/>
      <c r="AT99" s="177"/>
      <c r="AU99" s="319"/>
      <c r="AV99" s="177"/>
      <c r="AW99" s="177"/>
      <c r="AX99" s="319"/>
      <c r="AY99" s="177"/>
      <c r="AZ99" s="177"/>
      <c r="BA99" s="319"/>
      <c r="BB99" s="177"/>
      <c r="BC99" s="177"/>
      <c r="BD99" s="319"/>
      <c r="BE99" s="177"/>
      <c r="BF99" s="177"/>
      <c r="BG99" s="319"/>
      <c r="BH99" s="177"/>
      <c r="BI99" s="177"/>
      <c r="BJ99" s="319"/>
      <c r="BK99" s="177"/>
      <c r="BL99" s="177"/>
      <c r="BM99" s="319"/>
      <c r="BN99" s="177"/>
      <c r="BO99" s="177"/>
      <c r="BP99" s="319"/>
      <c r="BQ99" s="177"/>
      <c r="BR99" s="177"/>
      <c r="BS99" s="319"/>
      <c r="BT99" s="177"/>
      <c r="BU99" s="177"/>
      <c r="BV99" s="319"/>
      <c r="BW99" s="177"/>
      <c r="BX99" s="177"/>
      <c r="BY99" s="319"/>
      <c r="BZ99" s="177"/>
      <c r="CA99" s="177"/>
      <c r="CB99" s="319"/>
    </row>
    <row r="100" spans="1:80" ht="15.75" hidden="1" customHeight="1" x14ac:dyDescent="0.25">
      <c r="A100" s="362"/>
      <c r="B100" s="363"/>
      <c r="C100" s="349"/>
      <c r="D100" s="350"/>
      <c r="E100" s="317"/>
      <c r="F100" s="316"/>
      <c r="G100" s="317"/>
      <c r="H100" s="318"/>
      <c r="I100" s="353"/>
      <c r="J100" s="177"/>
      <c r="K100" s="319"/>
      <c r="L100" s="353"/>
      <c r="M100" s="177"/>
      <c r="N100" s="319"/>
      <c r="O100" s="353"/>
      <c r="P100" s="177"/>
      <c r="Q100" s="319"/>
      <c r="R100" s="353"/>
      <c r="S100" s="177"/>
      <c r="T100" s="319"/>
      <c r="U100" s="353"/>
      <c r="V100" s="177"/>
      <c r="W100" s="319"/>
      <c r="X100" s="353"/>
      <c r="Y100" s="177"/>
      <c r="Z100" s="319"/>
      <c r="AA100" s="353"/>
      <c r="AB100" s="356"/>
      <c r="AC100" s="357"/>
      <c r="AD100" s="177"/>
      <c r="AE100" s="177"/>
      <c r="AF100" s="319"/>
      <c r="AG100" s="177"/>
      <c r="AH100" s="177"/>
      <c r="AI100" s="319"/>
      <c r="AJ100" s="182"/>
      <c r="AK100" s="182"/>
      <c r="AL100" s="321"/>
      <c r="AM100" s="177"/>
      <c r="AN100" s="177"/>
      <c r="AO100" s="319"/>
      <c r="AP100" s="177"/>
      <c r="AQ100" s="177"/>
      <c r="AR100" s="319"/>
      <c r="AS100" s="177"/>
      <c r="AT100" s="177"/>
      <c r="AU100" s="319"/>
      <c r="AV100" s="177"/>
      <c r="AW100" s="177"/>
      <c r="AX100" s="319"/>
      <c r="AY100" s="177"/>
      <c r="AZ100" s="177"/>
      <c r="BA100" s="319"/>
      <c r="BB100" s="177"/>
      <c r="BC100" s="177"/>
      <c r="BD100" s="319"/>
      <c r="BE100" s="177"/>
      <c r="BF100" s="177"/>
      <c r="BG100" s="319"/>
      <c r="BH100" s="177"/>
      <c r="BI100" s="177"/>
      <c r="BJ100" s="319"/>
      <c r="BK100" s="177"/>
      <c r="BL100" s="177"/>
      <c r="BM100" s="319"/>
      <c r="BN100" s="177"/>
      <c r="BO100" s="177"/>
      <c r="BP100" s="319"/>
      <c r="BQ100" s="177"/>
      <c r="BR100" s="177"/>
      <c r="BS100" s="319"/>
      <c r="BT100" s="177"/>
      <c r="BU100" s="177"/>
      <c r="BV100" s="319"/>
      <c r="BW100" s="177"/>
      <c r="BX100" s="177"/>
      <c r="BY100" s="319"/>
      <c r="BZ100" s="177"/>
      <c r="CA100" s="177"/>
      <c r="CB100" s="319"/>
    </row>
    <row r="101" spans="1:80" ht="15.75" hidden="1" customHeight="1" x14ac:dyDescent="0.25">
      <c r="A101" s="362"/>
      <c r="B101" s="363"/>
      <c r="C101" s="349"/>
      <c r="D101" s="350"/>
      <c r="E101" s="317"/>
      <c r="F101" s="316"/>
      <c r="G101" s="317"/>
      <c r="H101" s="318"/>
      <c r="I101" s="353"/>
      <c r="J101" s="177"/>
      <c r="K101" s="319"/>
      <c r="L101" s="353"/>
      <c r="M101" s="177"/>
      <c r="N101" s="319"/>
      <c r="O101" s="353"/>
      <c r="P101" s="177"/>
      <c r="Q101" s="319"/>
      <c r="R101" s="353"/>
      <c r="S101" s="177"/>
      <c r="T101" s="319"/>
      <c r="U101" s="353"/>
      <c r="V101" s="177"/>
      <c r="W101" s="319"/>
      <c r="X101" s="353"/>
      <c r="Y101" s="177"/>
      <c r="Z101" s="319"/>
      <c r="AA101" s="353"/>
      <c r="AB101" s="356"/>
      <c r="AC101" s="357"/>
      <c r="AD101" s="177"/>
      <c r="AE101" s="177"/>
      <c r="AF101" s="319"/>
      <c r="AG101" s="177"/>
      <c r="AH101" s="177"/>
      <c r="AI101" s="319"/>
      <c r="AJ101" s="182"/>
      <c r="AK101" s="182"/>
      <c r="AL101" s="321"/>
      <c r="AM101" s="177"/>
      <c r="AN101" s="177"/>
      <c r="AO101" s="319"/>
      <c r="AP101" s="177"/>
      <c r="AQ101" s="177"/>
      <c r="AR101" s="319"/>
      <c r="AS101" s="177"/>
      <c r="AT101" s="177"/>
      <c r="AU101" s="319"/>
      <c r="AV101" s="177"/>
      <c r="AW101" s="177"/>
      <c r="AX101" s="319"/>
      <c r="AY101" s="177"/>
      <c r="AZ101" s="177"/>
      <c r="BA101" s="319"/>
      <c r="BB101" s="177"/>
      <c r="BC101" s="177"/>
      <c r="BD101" s="319"/>
      <c r="BE101" s="177"/>
      <c r="BF101" s="177"/>
      <c r="BG101" s="319"/>
      <c r="BH101" s="177"/>
      <c r="BI101" s="177"/>
      <c r="BJ101" s="319"/>
      <c r="BK101" s="177"/>
      <c r="BL101" s="177"/>
      <c r="BM101" s="319"/>
      <c r="BN101" s="177"/>
      <c r="BO101" s="177"/>
      <c r="BP101" s="319"/>
      <c r="BQ101" s="177"/>
      <c r="BR101" s="177"/>
      <c r="BS101" s="319"/>
      <c r="BT101" s="177"/>
      <c r="BU101" s="177"/>
      <c r="BV101" s="319"/>
      <c r="BW101" s="177"/>
      <c r="BX101" s="177"/>
      <c r="BY101" s="319"/>
      <c r="BZ101" s="177"/>
      <c r="CA101" s="177"/>
      <c r="CB101" s="319"/>
    </row>
    <row r="102" spans="1:80" ht="15.75" hidden="1" customHeight="1" x14ac:dyDescent="0.25">
      <c r="A102" s="362"/>
      <c r="B102" s="363"/>
      <c r="C102" s="349"/>
      <c r="D102" s="350"/>
      <c r="E102" s="317"/>
      <c r="F102" s="316"/>
      <c r="G102" s="317"/>
      <c r="H102" s="318"/>
      <c r="I102" s="353"/>
      <c r="J102" s="177"/>
      <c r="K102" s="319"/>
      <c r="L102" s="353"/>
      <c r="M102" s="177"/>
      <c r="N102" s="319"/>
      <c r="O102" s="353"/>
      <c r="P102" s="177"/>
      <c r="Q102" s="319"/>
      <c r="R102" s="353"/>
      <c r="S102" s="177"/>
      <c r="T102" s="319"/>
      <c r="U102" s="353"/>
      <c r="V102" s="177"/>
      <c r="W102" s="319"/>
      <c r="X102" s="353"/>
      <c r="Y102" s="177"/>
      <c r="Z102" s="319"/>
      <c r="AA102" s="353"/>
      <c r="AB102" s="356"/>
      <c r="AC102" s="357"/>
      <c r="AD102" s="177"/>
      <c r="AE102" s="177"/>
      <c r="AF102" s="319"/>
      <c r="AG102" s="177"/>
      <c r="AH102" s="177"/>
      <c r="AI102" s="319"/>
      <c r="AJ102" s="182"/>
      <c r="AK102" s="182"/>
      <c r="AL102" s="321"/>
      <c r="AM102" s="177"/>
      <c r="AN102" s="177"/>
      <c r="AO102" s="319"/>
      <c r="AP102" s="177"/>
      <c r="AQ102" s="177"/>
      <c r="AR102" s="319"/>
      <c r="AS102" s="177"/>
      <c r="AT102" s="177"/>
      <c r="AU102" s="319"/>
      <c r="AV102" s="177"/>
      <c r="AW102" s="177"/>
      <c r="AX102" s="319"/>
      <c r="AY102" s="177"/>
      <c r="AZ102" s="177"/>
      <c r="BA102" s="319"/>
      <c r="BB102" s="177"/>
      <c r="BC102" s="177"/>
      <c r="BD102" s="319"/>
      <c r="BE102" s="177"/>
      <c r="BF102" s="177"/>
      <c r="BG102" s="319"/>
      <c r="BH102" s="177"/>
      <c r="BI102" s="177"/>
      <c r="BJ102" s="319"/>
      <c r="BK102" s="177"/>
      <c r="BL102" s="177"/>
      <c r="BM102" s="319"/>
      <c r="BN102" s="177"/>
      <c r="BO102" s="177"/>
      <c r="BP102" s="319"/>
      <c r="BQ102" s="177"/>
      <c r="BR102" s="177"/>
      <c r="BS102" s="319"/>
      <c r="BT102" s="177"/>
      <c r="BU102" s="177"/>
      <c r="BV102" s="319"/>
      <c r="BW102" s="177"/>
      <c r="BX102" s="177"/>
      <c r="BY102" s="319"/>
      <c r="BZ102" s="177"/>
      <c r="CA102" s="177"/>
      <c r="CB102" s="319"/>
    </row>
    <row r="103" spans="1:80" ht="15.75" hidden="1" customHeight="1" x14ac:dyDescent="0.25">
      <c r="A103" s="347"/>
      <c r="B103" s="348"/>
      <c r="C103" s="349"/>
      <c r="D103" s="350"/>
      <c r="E103" s="374"/>
      <c r="F103" s="374"/>
      <c r="G103" s="374"/>
      <c r="H103" s="375"/>
      <c r="I103" s="376"/>
      <c r="J103" s="377"/>
      <c r="K103" s="378"/>
      <c r="L103" s="376"/>
      <c r="M103" s="377"/>
      <c r="N103" s="378"/>
      <c r="O103" s="376"/>
      <c r="P103" s="377"/>
      <c r="Q103" s="378"/>
      <c r="R103" s="376"/>
      <c r="S103" s="377"/>
      <c r="T103" s="378"/>
      <c r="U103" s="376"/>
      <c r="V103" s="377"/>
      <c r="W103" s="378"/>
      <c r="X103" s="376"/>
      <c r="Y103" s="377"/>
      <c r="Z103" s="378"/>
      <c r="AA103" s="376"/>
      <c r="AB103" s="379"/>
      <c r="AC103" s="380"/>
      <c r="AD103" s="377"/>
      <c r="AE103" s="377"/>
      <c r="AF103" s="378"/>
      <c r="AG103" s="377"/>
      <c r="AH103" s="377"/>
      <c r="AI103" s="378"/>
      <c r="AJ103" s="381"/>
      <c r="AK103" s="381"/>
      <c r="AL103" s="382"/>
      <c r="AM103" s="377"/>
      <c r="AN103" s="377"/>
      <c r="AO103" s="378"/>
      <c r="AP103" s="377"/>
      <c r="AQ103" s="377"/>
      <c r="AR103" s="378"/>
      <c r="AS103" s="377"/>
      <c r="AT103" s="377"/>
      <c r="AU103" s="378"/>
      <c r="AV103" s="377"/>
      <c r="AW103" s="377"/>
      <c r="AX103" s="378"/>
      <c r="AY103" s="377"/>
      <c r="AZ103" s="377"/>
      <c r="BA103" s="378"/>
      <c r="BB103" s="377"/>
      <c r="BC103" s="377"/>
      <c r="BD103" s="378"/>
      <c r="BE103" s="377"/>
      <c r="BF103" s="377"/>
      <c r="BG103" s="378"/>
      <c r="BH103" s="377"/>
      <c r="BI103" s="377"/>
      <c r="BJ103" s="378"/>
      <c r="BK103" s="377"/>
      <c r="BL103" s="377"/>
      <c r="BM103" s="378"/>
      <c r="BN103" s="377"/>
      <c r="BO103" s="377"/>
      <c r="BP103" s="378"/>
      <c r="BQ103" s="377"/>
      <c r="BR103" s="377"/>
      <c r="BS103" s="378"/>
      <c r="BT103" s="377"/>
      <c r="BU103" s="377"/>
      <c r="BV103" s="378"/>
      <c r="BW103" s="377"/>
      <c r="BX103" s="377"/>
      <c r="BY103" s="378"/>
      <c r="BZ103" s="377"/>
      <c r="CA103" s="377"/>
      <c r="CB103" s="378"/>
    </row>
    <row r="104" spans="1:80" ht="15.75" hidden="1" customHeight="1" x14ac:dyDescent="0.25">
      <c r="A104" s="347"/>
      <c r="B104" s="348"/>
      <c r="C104" s="349"/>
      <c r="D104" s="350"/>
      <c r="E104" s="374"/>
      <c r="F104" s="374"/>
      <c r="G104" s="374"/>
      <c r="H104" s="375"/>
      <c r="I104" s="376"/>
      <c r="J104" s="377"/>
      <c r="K104" s="378"/>
      <c r="L104" s="376"/>
      <c r="M104" s="377"/>
      <c r="N104" s="378"/>
      <c r="O104" s="376"/>
      <c r="P104" s="377"/>
      <c r="Q104" s="378"/>
      <c r="R104" s="376"/>
      <c r="S104" s="377"/>
      <c r="T104" s="378"/>
      <c r="U104" s="376"/>
      <c r="V104" s="377"/>
      <c r="W104" s="378"/>
      <c r="X104" s="376"/>
      <c r="Y104" s="377"/>
      <c r="Z104" s="378"/>
      <c r="AA104" s="376"/>
      <c r="AB104" s="379"/>
      <c r="AC104" s="380"/>
      <c r="AD104" s="377"/>
      <c r="AE104" s="377"/>
      <c r="AF104" s="378"/>
      <c r="AG104" s="377"/>
      <c r="AH104" s="377"/>
      <c r="AI104" s="378"/>
      <c r="AJ104" s="381"/>
      <c r="AK104" s="381"/>
      <c r="AL104" s="382"/>
      <c r="AM104" s="377"/>
      <c r="AN104" s="377"/>
      <c r="AO104" s="378"/>
      <c r="AP104" s="377"/>
      <c r="AQ104" s="377"/>
      <c r="AR104" s="378"/>
      <c r="AS104" s="377"/>
      <c r="AT104" s="377"/>
      <c r="AU104" s="378"/>
      <c r="AV104" s="377"/>
      <c r="AW104" s="377"/>
      <c r="AX104" s="378"/>
      <c r="AY104" s="377"/>
      <c r="AZ104" s="377"/>
      <c r="BA104" s="378"/>
      <c r="BB104" s="377"/>
      <c r="BC104" s="377"/>
      <c r="BD104" s="378"/>
      <c r="BE104" s="377"/>
      <c r="BF104" s="377"/>
      <c r="BG104" s="378"/>
      <c r="BH104" s="377"/>
      <c r="BI104" s="377"/>
      <c r="BJ104" s="378"/>
      <c r="BK104" s="377"/>
      <c r="BL104" s="377"/>
      <c r="BM104" s="378"/>
      <c r="BN104" s="377"/>
      <c r="BO104" s="377"/>
      <c r="BP104" s="378"/>
      <c r="BQ104" s="377"/>
      <c r="BR104" s="377"/>
      <c r="BS104" s="378"/>
      <c r="BT104" s="377"/>
      <c r="BU104" s="377"/>
      <c r="BV104" s="378"/>
      <c r="BW104" s="377"/>
      <c r="BX104" s="377"/>
      <c r="BY104" s="378"/>
      <c r="BZ104" s="377"/>
      <c r="CA104" s="377"/>
      <c r="CB104" s="378"/>
    </row>
    <row r="105" spans="1:80" ht="15.75" hidden="1" customHeight="1" x14ac:dyDescent="0.25">
      <c r="A105" s="383"/>
      <c r="B105" s="384"/>
      <c r="C105" s="385"/>
      <c r="D105" s="386"/>
      <c r="E105" s="387"/>
      <c r="F105" s="387"/>
      <c r="G105" s="387"/>
      <c r="H105" s="388"/>
      <c r="I105" s="389"/>
      <c r="J105" s="390"/>
      <c r="K105" s="391"/>
      <c r="L105" s="389"/>
      <c r="M105" s="390"/>
      <c r="N105" s="391"/>
      <c r="O105" s="389"/>
      <c r="P105" s="390"/>
      <c r="Q105" s="391"/>
      <c r="R105" s="389"/>
      <c r="S105" s="390"/>
      <c r="T105" s="391"/>
      <c r="U105" s="389"/>
      <c r="V105" s="390"/>
      <c r="W105" s="391"/>
      <c r="X105" s="389"/>
      <c r="Y105" s="390"/>
      <c r="Z105" s="391"/>
      <c r="AA105" s="389"/>
      <c r="AB105" s="392"/>
      <c r="AC105" s="393"/>
      <c r="AD105" s="390"/>
      <c r="AE105" s="390"/>
      <c r="AF105" s="391"/>
      <c r="AG105" s="390"/>
      <c r="AH105" s="390"/>
      <c r="AI105" s="391"/>
      <c r="AJ105" s="394"/>
      <c r="AK105" s="394"/>
      <c r="AL105" s="395"/>
      <c r="AM105" s="390"/>
      <c r="AN105" s="390"/>
      <c r="AO105" s="391"/>
      <c r="AP105" s="390"/>
      <c r="AQ105" s="390"/>
      <c r="AR105" s="391"/>
      <c r="AS105" s="390"/>
      <c r="AT105" s="390"/>
      <c r="AU105" s="391"/>
      <c r="AV105" s="390"/>
      <c r="AW105" s="390"/>
      <c r="AX105" s="391"/>
      <c r="AY105" s="390"/>
      <c r="AZ105" s="390"/>
      <c r="BA105" s="391"/>
      <c r="BB105" s="390"/>
      <c r="BC105" s="390"/>
      <c r="BD105" s="391"/>
      <c r="BE105" s="390"/>
      <c r="BF105" s="390"/>
      <c r="BG105" s="391"/>
      <c r="BH105" s="390"/>
      <c r="BI105" s="390"/>
      <c r="BJ105" s="391"/>
      <c r="BK105" s="390"/>
      <c r="BL105" s="390"/>
      <c r="BM105" s="391"/>
      <c r="BN105" s="390"/>
      <c r="BO105" s="390"/>
      <c r="BP105" s="391"/>
      <c r="BQ105" s="390"/>
      <c r="BR105" s="390"/>
      <c r="BS105" s="391"/>
      <c r="BT105" s="390"/>
      <c r="BU105" s="390"/>
      <c r="BV105" s="391"/>
      <c r="BW105" s="390"/>
      <c r="BX105" s="390"/>
      <c r="BY105" s="391"/>
      <c r="BZ105" s="390"/>
      <c r="CA105" s="390"/>
      <c r="CB105" s="391"/>
    </row>
    <row r="106" spans="1:80" ht="13.5" customHeight="1" x14ac:dyDescent="0.25">
      <c r="A106" s="1127" t="s">
        <v>46</v>
      </c>
      <c r="B106" s="1128" t="s">
        <v>26</v>
      </c>
      <c r="C106" s="264" t="s">
        <v>1659</v>
      </c>
      <c r="D106" s="265" t="s">
        <v>1660</v>
      </c>
      <c r="E106" s="266"/>
      <c r="F106" s="267"/>
      <c r="G106" s="267"/>
      <c r="H106" s="268"/>
      <c r="I106" s="311">
        <v>34</v>
      </c>
      <c r="J106" s="270" t="s">
        <v>1661</v>
      </c>
      <c r="K106" s="271" t="s">
        <v>1662</v>
      </c>
      <c r="L106" s="311">
        <v>32</v>
      </c>
      <c r="M106" s="270" t="s">
        <v>1663</v>
      </c>
      <c r="N106" s="271" t="s">
        <v>1664</v>
      </c>
      <c r="O106" s="311">
        <v>34</v>
      </c>
      <c r="P106" s="270" t="s">
        <v>1665</v>
      </c>
      <c r="Q106" s="271" t="s">
        <v>1666</v>
      </c>
      <c r="R106" s="312">
        <v>34</v>
      </c>
      <c r="S106" s="270" t="s">
        <v>1667</v>
      </c>
      <c r="T106" s="271" t="s">
        <v>1668</v>
      </c>
      <c r="U106" s="311">
        <v>38</v>
      </c>
      <c r="V106" s="270" t="s">
        <v>1669</v>
      </c>
      <c r="W106" s="271" t="s">
        <v>1670</v>
      </c>
      <c r="X106" s="311">
        <v>48</v>
      </c>
      <c r="Y106" s="270" t="s">
        <v>1671</v>
      </c>
      <c r="Z106" s="271" t="s">
        <v>1672</v>
      </c>
      <c r="AA106" s="311">
        <v>53</v>
      </c>
      <c r="AB106" s="270" t="s">
        <v>1673</v>
      </c>
      <c r="AC106" s="271" t="s">
        <v>1674</v>
      </c>
      <c r="AD106" s="396" t="s">
        <v>1675</v>
      </c>
      <c r="AE106" s="270" t="s">
        <v>1676</v>
      </c>
      <c r="AF106" s="271" t="s">
        <v>1677</v>
      </c>
      <c r="AG106" s="397" t="s">
        <v>1561</v>
      </c>
      <c r="AH106" s="270" t="s">
        <v>1678</v>
      </c>
      <c r="AI106" s="271" t="s">
        <v>1679</v>
      </c>
      <c r="AJ106" s="398" t="s">
        <v>1564</v>
      </c>
      <c r="AK106" s="274" t="s">
        <v>1680</v>
      </c>
      <c r="AL106" s="275" t="s">
        <v>1681</v>
      </c>
      <c r="AM106" s="397" t="s">
        <v>1564</v>
      </c>
      <c r="AN106" s="274" t="s">
        <v>1682</v>
      </c>
      <c r="AO106" s="275" t="s">
        <v>1683</v>
      </c>
      <c r="AP106" s="396" t="s">
        <v>1564</v>
      </c>
      <c r="AQ106" s="274" t="s">
        <v>1684</v>
      </c>
      <c r="AR106" s="275" t="s">
        <v>1685</v>
      </c>
      <c r="AS106" s="397" t="s">
        <v>1561</v>
      </c>
      <c r="AT106" s="274" t="s">
        <v>1686</v>
      </c>
      <c r="AU106" s="275" t="s">
        <v>1687</v>
      </c>
      <c r="AV106" s="397" t="s">
        <v>1564</v>
      </c>
      <c r="AW106" s="274" t="s">
        <v>1688</v>
      </c>
      <c r="AX106" s="275" t="s">
        <v>1689</v>
      </c>
      <c r="AY106" s="397" t="s">
        <v>1690</v>
      </c>
      <c r="AZ106" s="274" t="s">
        <v>1691</v>
      </c>
      <c r="BA106" s="275" t="s">
        <v>1692</v>
      </c>
      <c r="BB106" s="396" t="s">
        <v>1097</v>
      </c>
      <c r="BC106" s="274" t="s">
        <v>1693</v>
      </c>
      <c r="BD106" s="275" t="s">
        <v>1694</v>
      </c>
      <c r="BE106" s="397" t="s">
        <v>1097</v>
      </c>
      <c r="BF106" s="274" t="s">
        <v>1695</v>
      </c>
      <c r="BG106" s="275" t="s">
        <v>1696</v>
      </c>
      <c r="BH106" s="397" t="s">
        <v>936</v>
      </c>
      <c r="BI106" s="274" t="s">
        <v>1697</v>
      </c>
      <c r="BJ106" s="275" t="s">
        <v>1698</v>
      </c>
      <c r="BK106" s="397" t="s">
        <v>936</v>
      </c>
      <c r="BL106" s="274" t="s">
        <v>1699</v>
      </c>
      <c r="BM106" s="275" t="s">
        <v>1700</v>
      </c>
      <c r="BN106" s="396" t="s">
        <v>1558</v>
      </c>
      <c r="BO106" s="274" t="s">
        <v>1701</v>
      </c>
      <c r="BP106" s="275" t="s">
        <v>1702</v>
      </c>
      <c r="BQ106" s="397" t="s">
        <v>1703</v>
      </c>
      <c r="BR106" s="274" t="s">
        <v>1704</v>
      </c>
      <c r="BS106" s="275" t="s">
        <v>1705</v>
      </c>
      <c r="BT106" s="397" t="s">
        <v>1477</v>
      </c>
      <c r="BU106" s="274" t="s">
        <v>1706</v>
      </c>
      <c r="BV106" s="275" t="s">
        <v>1707</v>
      </c>
      <c r="BW106" s="397" t="s">
        <v>1186</v>
      </c>
      <c r="BX106" s="274" t="s">
        <v>1708</v>
      </c>
      <c r="BY106" s="275" t="s">
        <v>1709</v>
      </c>
      <c r="BZ106" s="396" t="s">
        <v>1710</v>
      </c>
      <c r="CA106" s="274" t="s">
        <v>1711</v>
      </c>
      <c r="CB106" s="275" t="s">
        <v>1712</v>
      </c>
    </row>
    <row r="107" spans="1:80" ht="13.5" customHeight="1" x14ac:dyDescent="0.25">
      <c r="A107" s="1127"/>
      <c r="B107" s="1129"/>
      <c r="C107" s="276" t="s">
        <v>1713</v>
      </c>
      <c r="D107" s="277" t="s">
        <v>1714</v>
      </c>
      <c r="E107" s="278"/>
      <c r="F107" s="279"/>
      <c r="G107" s="279"/>
      <c r="H107" s="280"/>
      <c r="I107" s="289">
        <v>2</v>
      </c>
      <c r="J107" s="282" t="s">
        <v>1715</v>
      </c>
      <c r="K107" s="283" t="s">
        <v>1716</v>
      </c>
      <c r="L107" s="289">
        <v>1</v>
      </c>
      <c r="M107" s="282" t="s">
        <v>1717</v>
      </c>
      <c r="N107" s="283" t="s">
        <v>1716</v>
      </c>
      <c r="O107" s="289">
        <v>1</v>
      </c>
      <c r="P107" s="282" t="s">
        <v>1718</v>
      </c>
      <c r="Q107" s="283" t="s">
        <v>1716</v>
      </c>
      <c r="R107" s="290">
        <v>1</v>
      </c>
      <c r="S107" s="282" t="s">
        <v>1719</v>
      </c>
      <c r="T107" s="283" t="s">
        <v>1716</v>
      </c>
      <c r="U107" s="289">
        <v>2</v>
      </c>
      <c r="V107" s="282" t="s">
        <v>1720</v>
      </c>
      <c r="W107" s="283" t="s">
        <v>1716</v>
      </c>
      <c r="X107" s="289">
        <v>3</v>
      </c>
      <c r="Y107" s="282" t="s">
        <v>1721</v>
      </c>
      <c r="Z107" s="283" t="s">
        <v>1722</v>
      </c>
      <c r="AA107" s="289">
        <v>0</v>
      </c>
      <c r="AB107" s="282" t="s">
        <v>1723</v>
      </c>
      <c r="AC107" s="283" t="s">
        <v>1722</v>
      </c>
      <c r="AD107" s="322" t="s">
        <v>664</v>
      </c>
      <c r="AE107" s="282" t="s">
        <v>1724</v>
      </c>
      <c r="AF107" s="283" t="s">
        <v>1725</v>
      </c>
      <c r="AG107" s="281" t="s">
        <v>664</v>
      </c>
      <c r="AH107" s="282" t="s">
        <v>1726</v>
      </c>
      <c r="AI107" s="283" t="s">
        <v>1725</v>
      </c>
      <c r="AJ107" s="320" t="s">
        <v>664</v>
      </c>
      <c r="AK107" s="287" t="s">
        <v>1727</v>
      </c>
      <c r="AL107" s="288" t="s">
        <v>1725</v>
      </c>
      <c r="AM107" s="320" t="s">
        <v>664</v>
      </c>
      <c r="AN107" s="287" t="s">
        <v>1728</v>
      </c>
      <c r="AO107" s="288" t="s">
        <v>1725</v>
      </c>
      <c r="AP107" s="320" t="s">
        <v>664</v>
      </c>
      <c r="AQ107" s="287" t="s">
        <v>1729</v>
      </c>
      <c r="AR107" s="288" t="s">
        <v>1725</v>
      </c>
      <c r="AS107" s="320" t="s">
        <v>664</v>
      </c>
      <c r="AT107" s="287" t="s">
        <v>1730</v>
      </c>
      <c r="AU107" s="288" t="s">
        <v>1731</v>
      </c>
      <c r="AV107" s="320" t="s">
        <v>664</v>
      </c>
      <c r="AW107" s="287" t="s">
        <v>1732</v>
      </c>
      <c r="AX107" s="288" t="s">
        <v>1731</v>
      </c>
      <c r="AY107" s="320" t="s">
        <v>1733</v>
      </c>
      <c r="AZ107" s="287" t="s">
        <v>1734</v>
      </c>
      <c r="BA107" s="288" t="s">
        <v>1731</v>
      </c>
      <c r="BB107" s="320" t="s">
        <v>1733</v>
      </c>
      <c r="BC107" s="287" t="s">
        <v>1735</v>
      </c>
      <c r="BD107" s="288" t="s">
        <v>1736</v>
      </c>
      <c r="BE107" s="320" t="s">
        <v>1737</v>
      </c>
      <c r="BF107" s="287" t="s">
        <v>1738</v>
      </c>
      <c r="BG107" s="288" t="s">
        <v>1736</v>
      </c>
      <c r="BH107" s="320" t="s">
        <v>1307</v>
      </c>
      <c r="BI107" s="287" t="s">
        <v>1739</v>
      </c>
      <c r="BJ107" s="288" t="s">
        <v>1736</v>
      </c>
      <c r="BK107" s="320" t="s">
        <v>1322</v>
      </c>
      <c r="BL107" s="287" t="s">
        <v>1740</v>
      </c>
      <c r="BM107" s="288" t="s">
        <v>1736</v>
      </c>
      <c r="BN107" s="320" t="s">
        <v>1307</v>
      </c>
      <c r="BO107" s="287" t="s">
        <v>1741</v>
      </c>
      <c r="BP107" s="288" t="s">
        <v>1742</v>
      </c>
      <c r="BQ107" s="320" t="s">
        <v>1307</v>
      </c>
      <c r="BR107" s="287" t="s">
        <v>1743</v>
      </c>
      <c r="BS107" s="288" t="s">
        <v>1744</v>
      </c>
      <c r="BT107" s="320" t="s">
        <v>1307</v>
      </c>
      <c r="BU107" s="287" t="s">
        <v>1745</v>
      </c>
      <c r="BV107" s="288" t="s">
        <v>1744</v>
      </c>
      <c r="BW107" s="281" t="s">
        <v>1733</v>
      </c>
      <c r="BX107" s="288" t="s">
        <v>1744</v>
      </c>
      <c r="BY107" s="288" t="s">
        <v>1744</v>
      </c>
      <c r="BZ107" s="322" t="s">
        <v>1737</v>
      </c>
      <c r="CA107" s="287" t="s">
        <v>1746</v>
      </c>
      <c r="CB107" s="288" t="s">
        <v>1747</v>
      </c>
    </row>
    <row r="108" spans="1:80" ht="13.5" customHeight="1" x14ac:dyDescent="0.25">
      <c r="A108" s="1127"/>
      <c r="B108" s="1129"/>
      <c r="C108" s="276" t="s">
        <v>1748</v>
      </c>
      <c r="D108" s="314" t="s">
        <v>1749</v>
      </c>
      <c r="E108" s="278"/>
      <c r="F108" s="279"/>
      <c r="G108" s="279"/>
      <c r="H108" s="280"/>
      <c r="I108" s="289">
        <v>127</v>
      </c>
      <c r="J108" s="282" t="s">
        <v>1750</v>
      </c>
      <c r="K108" s="283" t="s">
        <v>1751</v>
      </c>
      <c r="L108" s="289">
        <v>125</v>
      </c>
      <c r="M108" s="282" t="s">
        <v>1752</v>
      </c>
      <c r="N108" s="283" t="s">
        <v>1753</v>
      </c>
      <c r="O108" s="289">
        <v>120</v>
      </c>
      <c r="P108" s="282" t="s">
        <v>1754</v>
      </c>
      <c r="Q108" s="283" t="s">
        <v>1755</v>
      </c>
      <c r="R108" s="290">
        <v>120</v>
      </c>
      <c r="S108" s="282" t="s">
        <v>1756</v>
      </c>
      <c r="T108" s="283" t="s">
        <v>1757</v>
      </c>
      <c r="U108" s="289">
        <v>126</v>
      </c>
      <c r="V108" s="282" t="s">
        <v>1758</v>
      </c>
      <c r="W108" s="283" t="s">
        <v>1759</v>
      </c>
      <c r="X108" s="289">
        <v>129</v>
      </c>
      <c r="Y108" s="282" t="s">
        <v>1760</v>
      </c>
      <c r="Z108" s="283" t="s">
        <v>1759</v>
      </c>
      <c r="AA108" s="289">
        <v>155</v>
      </c>
      <c r="AB108" s="282" t="s">
        <v>1761</v>
      </c>
      <c r="AC108" s="283" t="s">
        <v>1762</v>
      </c>
      <c r="AD108" s="322" t="s">
        <v>1763</v>
      </c>
      <c r="AE108" s="282" t="s">
        <v>1764</v>
      </c>
      <c r="AF108" s="283" t="s">
        <v>1765</v>
      </c>
      <c r="AG108" s="281" t="s">
        <v>1766</v>
      </c>
      <c r="AH108" s="282" t="s">
        <v>1767</v>
      </c>
      <c r="AI108" s="283" t="s">
        <v>1765</v>
      </c>
      <c r="AJ108" s="320" t="s">
        <v>1768</v>
      </c>
      <c r="AK108" s="287" t="s">
        <v>1769</v>
      </c>
      <c r="AL108" s="288" t="s">
        <v>1770</v>
      </c>
      <c r="AM108" s="281" t="s">
        <v>1771</v>
      </c>
      <c r="AN108" s="287" t="s">
        <v>1772</v>
      </c>
      <c r="AO108" s="288" t="s">
        <v>1773</v>
      </c>
      <c r="AP108" s="322" t="s">
        <v>1768</v>
      </c>
      <c r="AQ108" s="287" t="s">
        <v>1774</v>
      </c>
      <c r="AR108" s="288" t="s">
        <v>1775</v>
      </c>
      <c r="AS108" s="281" t="s">
        <v>1776</v>
      </c>
      <c r="AT108" s="287" t="s">
        <v>1777</v>
      </c>
      <c r="AU108" s="288" t="s">
        <v>1778</v>
      </c>
      <c r="AV108" s="281" t="s">
        <v>1779</v>
      </c>
      <c r="AW108" s="287" t="s">
        <v>1780</v>
      </c>
      <c r="AX108" s="288" t="s">
        <v>1781</v>
      </c>
      <c r="AY108" s="281" t="s">
        <v>1782</v>
      </c>
      <c r="AZ108" s="287" t="s">
        <v>1783</v>
      </c>
      <c r="BA108" s="288" t="s">
        <v>1784</v>
      </c>
      <c r="BB108" s="322" t="s">
        <v>1771</v>
      </c>
      <c r="BC108" s="287" t="s">
        <v>1785</v>
      </c>
      <c r="BD108" s="288" t="s">
        <v>1786</v>
      </c>
      <c r="BE108" s="281" t="s">
        <v>1787</v>
      </c>
      <c r="BF108" s="287" t="s">
        <v>1788</v>
      </c>
      <c r="BG108" s="288" t="s">
        <v>1789</v>
      </c>
      <c r="BH108" s="281" t="s">
        <v>1790</v>
      </c>
      <c r="BI108" s="287" t="s">
        <v>1791</v>
      </c>
      <c r="BJ108" s="288" t="s">
        <v>1792</v>
      </c>
      <c r="BK108" s="281" t="s">
        <v>1793</v>
      </c>
      <c r="BL108" s="287" t="s">
        <v>1794</v>
      </c>
      <c r="BM108" s="288" t="s">
        <v>1795</v>
      </c>
      <c r="BN108" s="322" t="s">
        <v>1796</v>
      </c>
      <c r="BO108" s="287" t="s">
        <v>1797</v>
      </c>
      <c r="BP108" s="288" t="s">
        <v>1798</v>
      </c>
      <c r="BQ108" s="281" t="s">
        <v>1799</v>
      </c>
      <c r="BR108" s="287" t="s">
        <v>1800</v>
      </c>
      <c r="BS108" s="288" t="s">
        <v>1801</v>
      </c>
      <c r="BT108" s="281" t="s">
        <v>1061</v>
      </c>
      <c r="BU108" s="287" t="s">
        <v>1802</v>
      </c>
      <c r="BV108" s="288" t="s">
        <v>1803</v>
      </c>
      <c r="BW108" s="281" t="s">
        <v>1804</v>
      </c>
      <c r="BX108" s="287" t="s">
        <v>1805</v>
      </c>
      <c r="BY108" s="288" t="s">
        <v>1806</v>
      </c>
      <c r="BZ108" s="322" t="s">
        <v>1807</v>
      </c>
      <c r="CA108" s="287" t="s">
        <v>1808</v>
      </c>
      <c r="CB108" s="288" t="s">
        <v>1809</v>
      </c>
    </row>
    <row r="109" spans="1:80" ht="13.5" customHeight="1" x14ac:dyDescent="0.25">
      <c r="A109" s="1127"/>
      <c r="B109" s="1129"/>
      <c r="C109" s="276" t="s">
        <v>1810</v>
      </c>
      <c r="D109" s="277" t="s">
        <v>1811</v>
      </c>
      <c r="E109" s="278"/>
      <c r="F109" s="279"/>
      <c r="G109" s="279"/>
      <c r="H109" s="280"/>
      <c r="I109" s="289">
        <v>10</v>
      </c>
      <c r="J109" s="282" t="s">
        <v>1812</v>
      </c>
      <c r="K109" s="283" t="s">
        <v>1813</v>
      </c>
      <c r="L109" s="289">
        <v>10</v>
      </c>
      <c r="M109" s="282" t="s">
        <v>1814</v>
      </c>
      <c r="N109" s="283" t="s">
        <v>1815</v>
      </c>
      <c r="O109" s="289">
        <v>10</v>
      </c>
      <c r="P109" s="282" t="s">
        <v>1816</v>
      </c>
      <c r="Q109" s="283" t="s">
        <v>1815</v>
      </c>
      <c r="R109" s="290">
        <v>10</v>
      </c>
      <c r="S109" s="282" t="s">
        <v>1817</v>
      </c>
      <c r="T109" s="283" t="s">
        <v>1818</v>
      </c>
      <c r="U109" s="289">
        <v>12</v>
      </c>
      <c r="V109" s="282" t="s">
        <v>1819</v>
      </c>
      <c r="W109" s="283" t="s">
        <v>1820</v>
      </c>
      <c r="X109" s="289">
        <v>14</v>
      </c>
      <c r="Y109" s="282" t="s">
        <v>1821</v>
      </c>
      <c r="Z109" s="283" t="s">
        <v>1822</v>
      </c>
      <c r="AA109" s="289">
        <v>14</v>
      </c>
      <c r="AB109" s="282" t="s">
        <v>1823</v>
      </c>
      <c r="AC109" s="283" t="s">
        <v>1824</v>
      </c>
      <c r="AD109" s="322" t="s">
        <v>1339</v>
      </c>
      <c r="AE109" s="282" t="s">
        <v>1825</v>
      </c>
      <c r="AF109" s="283" t="s">
        <v>1826</v>
      </c>
      <c r="AG109" s="281" t="s">
        <v>1176</v>
      </c>
      <c r="AH109" s="282" t="s">
        <v>1827</v>
      </c>
      <c r="AI109" s="283" t="s">
        <v>1828</v>
      </c>
      <c r="AJ109" s="320" t="s">
        <v>1176</v>
      </c>
      <c r="AK109" s="287" t="s">
        <v>1829</v>
      </c>
      <c r="AL109" s="288" t="s">
        <v>1830</v>
      </c>
      <c r="AM109" s="281" t="s">
        <v>1176</v>
      </c>
      <c r="AN109" s="287" t="s">
        <v>1831</v>
      </c>
      <c r="AO109" s="288" t="s">
        <v>1830</v>
      </c>
      <c r="AP109" s="322" t="s">
        <v>1339</v>
      </c>
      <c r="AQ109" s="287" t="s">
        <v>1832</v>
      </c>
      <c r="AR109" s="288" t="s">
        <v>1833</v>
      </c>
      <c r="AS109" s="281" t="s">
        <v>1339</v>
      </c>
      <c r="AT109" s="287" t="s">
        <v>1834</v>
      </c>
      <c r="AU109" s="288" t="s">
        <v>1835</v>
      </c>
      <c r="AV109" s="281" t="s">
        <v>1176</v>
      </c>
      <c r="AW109" s="287" t="s">
        <v>1836</v>
      </c>
      <c r="AX109" s="288" t="s">
        <v>1837</v>
      </c>
      <c r="AY109" s="281" t="s">
        <v>1517</v>
      </c>
      <c r="AZ109" s="287" t="s">
        <v>1838</v>
      </c>
      <c r="BA109" s="288" t="s">
        <v>1839</v>
      </c>
      <c r="BB109" s="322" t="s">
        <v>1176</v>
      </c>
      <c r="BC109" s="287" t="s">
        <v>1840</v>
      </c>
      <c r="BD109" s="288" t="s">
        <v>1841</v>
      </c>
      <c r="BE109" s="281" t="s">
        <v>1517</v>
      </c>
      <c r="BF109" s="287" t="s">
        <v>1842</v>
      </c>
      <c r="BG109" s="288" t="s">
        <v>1843</v>
      </c>
      <c r="BH109" s="281" t="s">
        <v>1204</v>
      </c>
      <c r="BI109" s="287" t="s">
        <v>1844</v>
      </c>
      <c r="BJ109" s="288" t="s">
        <v>1845</v>
      </c>
      <c r="BK109" s="281" t="s">
        <v>1517</v>
      </c>
      <c r="BL109" s="287" t="s">
        <v>1846</v>
      </c>
      <c r="BM109" s="288" t="s">
        <v>1847</v>
      </c>
      <c r="BN109" s="322" t="s">
        <v>1517</v>
      </c>
      <c r="BO109" s="287" t="s">
        <v>1848</v>
      </c>
      <c r="BP109" s="288" t="s">
        <v>1849</v>
      </c>
      <c r="BQ109" s="281" t="s">
        <v>1332</v>
      </c>
      <c r="BR109" s="287" t="s">
        <v>1850</v>
      </c>
      <c r="BS109" s="288" t="s">
        <v>1851</v>
      </c>
      <c r="BT109" s="281" t="s">
        <v>1339</v>
      </c>
      <c r="BU109" s="287" t="s">
        <v>1852</v>
      </c>
      <c r="BV109" s="288" t="s">
        <v>1853</v>
      </c>
      <c r="BW109" s="281" t="s">
        <v>770</v>
      </c>
      <c r="BX109" s="287" t="s">
        <v>1854</v>
      </c>
      <c r="BY109" s="288" t="s">
        <v>1855</v>
      </c>
      <c r="BZ109" s="322" t="s">
        <v>1612</v>
      </c>
      <c r="CA109" s="287" t="s">
        <v>1856</v>
      </c>
      <c r="CB109" s="288" t="s">
        <v>1857</v>
      </c>
    </row>
    <row r="110" spans="1:80" ht="13.5" customHeight="1" thickBot="1" x14ac:dyDescent="0.3">
      <c r="A110" s="1127"/>
      <c r="B110" s="1130"/>
      <c r="C110" s="291" t="s">
        <v>1858</v>
      </c>
      <c r="D110" s="292" t="s">
        <v>1859</v>
      </c>
      <c r="E110" s="399"/>
      <c r="F110" s="400"/>
      <c r="G110" s="400"/>
      <c r="H110" s="401"/>
      <c r="I110" s="340">
        <v>11</v>
      </c>
      <c r="J110" s="402" t="s">
        <v>1860</v>
      </c>
      <c r="K110" s="403" t="s">
        <v>1861</v>
      </c>
      <c r="L110" s="340">
        <v>10</v>
      </c>
      <c r="M110" s="402" t="s">
        <v>1862</v>
      </c>
      <c r="N110" s="403" t="s">
        <v>1863</v>
      </c>
      <c r="O110" s="340">
        <v>11</v>
      </c>
      <c r="P110" s="402" t="s">
        <v>1864</v>
      </c>
      <c r="Q110" s="403" t="s">
        <v>1865</v>
      </c>
      <c r="R110" s="342">
        <v>12</v>
      </c>
      <c r="S110" s="402" t="s">
        <v>1866</v>
      </c>
      <c r="T110" s="403" t="s">
        <v>1867</v>
      </c>
      <c r="U110" s="340">
        <v>12</v>
      </c>
      <c r="V110" s="402" t="s">
        <v>1868</v>
      </c>
      <c r="W110" s="403" t="s">
        <v>1869</v>
      </c>
      <c r="X110" s="340">
        <v>14</v>
      </c>
      <c r="Y110" s="402" t="s">
        <v>1870</v>
      </c>
      <c r="Z110" s="403" t="s">
        <v>1869</v>
      </c>
      <c r="AA110" s="340">
        <v>12</v>
      </c>
      <c r="AB110" s="402" t="s">
        <v>1871</v>
      </c>
      <c r="AC110" s="403" t="s">
        <v>1872</v>
      </c>
      <c r="AD110" s="343" t="s">
        <v>770</v>
      </c>
      <c r="AE110" s="402" t="s">
        <v>1873</v>
      </c>
      <c r="AF110" s="403" t="s">
        <v>1874</v>
      </c>
      <c r="AG110" s="344" t="s">
        <v>987</v>
      </c>
      <c r="AH110" s="402" t="s">
        <v>1875</v>
      </c>
      <c r="AI110" s="403" t="s">
        <v>1876</v>
      </c>
      <c r="AJ110" s="345" t="s">
        <v>987</v>
      </c>
      <c r="AK110" s="404" t="s">
        <v>1877</v>
      </c>
      <c r="AL110" s="405" t="s">
        <v>1878</v>
      </c>
      <c r="AM110" s="344" t="s">
        <v>770</v>
      </c>
      <c r="AN110" s="404" t="s">
        <v>1879</v>
      </c>
      <c r="AO110" s="405" t="s">
        <v>1880</v>
      </c>
      <c r="AP110" s="343" t="s">
        <v>987</v>
      </c>
      <c r="AQ110" s="404" t="s">
        <v>1881</v>
      </c>
      <c r="AR110" s="405" t="s">
        <v>1882</v>
      </c>
      <c r="AS110" s="344" t="s">
        <v>987</v>
      </c>
      <c r="AT110" s="404" t="s">
        <v>1883</v>
      </c>
      <c r="AU110" s="405" t="s">
        <v>1884</v>
      </c>
      <c r="AV110" s="344" t="s">
        <v>987</v>
      </c>
      <c r="AW110" s="404" t="s">
        <v>1885</v>
      </c>
      <c r="AX110" s="405" t="s">
        <v>1886</v>
      </c>
      <c r="AY110" s="344" t="s">
        <v>1339</v>
      </c>
      <c r="AZ110" s="404" t="s">
        <v>1887</v>
      </c>
      <c r="BA110" s="405" t="s">
        <v>1888</v>
      </c>
      <c r="BB110" s="343" t="s">
        <v>1889</v>
      </c>
      <c r="BC110" s="404" t="s">
        <v>1890</v>
      </c>
      <c r="BD110" s="405" t="s">
        <v>1891</v>
      </c>
      <c r="BE110" s="344" t="s">
        <v>1517</v>
      </c>
      <c r="BF110" s="404" t="s">
        <v>1892</v>
      </c>
      <c r="BG110" s="405" t="s">
        <v>1893</v>
      </c>
      <c r="BH110" s="344" t="s">
        <v>1517</v>
      </c>
      <c r="BI110" s="404" t="s">
        <v>1894</v>
      </c>
      <c r="BJ110" s="405" t="s">
        <v>1895</v>
      </c>
      <c r="BK110" s="344" t="s">
        <v>1204</v>
      </c>
      <c r="BL110" s="404" t="s">
        <v>1896</v>
      </c>
      <c r="BM110" s="405" t="s">
        <v>1897</v>
      </c>
      <c r="BN110" s="343" t="s">
        <v>1898</v>
      </c>
      <c r="BO110" s="404" t="s">
        <v>1899</v>
      </c>
      <c r="BP110" s="405" t="s">
        <v>1900</v>
      </c>
      <c r="BQ110" s="344" t="s">
        <v>1517</v>
      </c>
      <c r="BR110" s="404" t="s">
        <v>1901</v>
      </c>
      <c r="BS110" s="405" t="s">
        <v>1902</v>
      </c>
      <c r="BT110" s="344" t="s">
        <v>613</v>
      </c>
      <c r="BU110" s="404" t="s">
        <v>1903</v>
      </c>
      <c r="BV110" s="405" t="s">
        <v>1904</v>
      </c>
      <c r="BW110" s="344" t="s">
        <v>613</v>
      </c>
      <c r="BX110" s="404" t="s">
        <v>1905</v>
      </c>
      <c r="BY110" s="405" t="s">
        <v>1906</v>
      </c>
      <c r="BZ110" s="343" t="s">
        <v>1162</v>
      </c>
      <c r="CA110" s="404" t="s">
        <v>1907</v>
      </c>
      <c r="CB110" s="405" t="s">
        <v>1908</v>
      </c>
    </row>
    <row r="111" spans="1:80" ht="13.5" customHeight="1" x14ac:dyDescent="0.25">
      <c r="A111" s="1127"/>
      <c r="B111" s="1131" t="s">
        <v>27</v>
      </c>
      <c r="C111" s="305" t="s">
        <v>1909</v>
      </c>
      <c r="D111" s="406" t="s">
        <v>1910</v>
      </c>
      <c r="E111" s="407"/>
      <c r="F111" s="408"/>
      <c r="G111" s="409"/>
      <c r="H111" s="410"/>
      <c r="I111" s="411">
        <v>6</v>
      </c>
      <c r="J111" s="412" t="s">
        <v>1911</v>
      </c>
      <c r="K111" s="413" t="s">
        <v>1912</v>
      </c>
      <c r="L111" s="411">
        <v>5</v>
      </c>
      <c r="M111" s="412" t="s">
        <v>1913</v>
      </c>
      <c r="N111" s="413" t="s">
        <v>1914</v>
      </c>
      <c r="O111" s="411">
        <v>5</v>
      </c>
      <c r="P111" s="412" t="s">
        <v>1915</v>
      </c>
      <c r="Q111" s="413" t="s">
        <v>1916</v>
      </c>
      <c r="R111" s="414">
        <v>5</v>
      </c>
      <c r="S111" s="412" t="s">
        <v>1917</v>
      </c>
      <c r="T111" s="413" t="s">
        <v>1918</v>
      </c>
      <c r="U111" s="411">
        <v>0</v>
      </c>
      <c r="V111" s="412" t="s">
        <v>1919</v>
      </c>
      <c r="W111" s="413" t="s">
        <v>1918</v>
      </c>
      <c r="X111" s="411">
        <v>7</v>
      </c>
      <c r="Y111" s="412" t="s">
        <v>1920</v>
      </c>
      <c r="Z111" s="413" t="s">
        <v>1921</v>
      </c>
      <c r="AA111" s="411">
        <v>8</v>
      </c>
      <c r="AB111" s="412" t="s">
        <v>1922</v>
      </c>
      <c r="AC111" s="413" t="s">
        <v>1923</v>
      </c>
      <c r="AD111" s="415" t="s">
        <v>1325</v>
      </c>
      <c r="AE111" s="412" t="s">
        <v>1924</v>
      </c>
      <c r="AF111" s="413" t="s">
        <v>1925</v>
      </c>
      <c r="AG111" s="416" t="s">
        <v>1654</v>
      </c>
      <c r="AH111" s="412" t="s">
        <v>1926</v>
      </c>
      <c r="AI111" s="413" t="s">
        <v>1927</v>
      </c>
      <c r="AJ111" s="417" t="s">
        <v>1304</v>
      </c>
      <c r="AK111" s="418" t="s">
        <v>1928</v>
      </c>
      <c r="AL111" s="419" t="s">
        <v>1929</v>
      </c>
      <c r="AM111" s="416" t="s">
        <v>1654</v>
      </c>
      <c r="AN111" s="418" t="s">
        <v>1930</v>
      </c>
      <c r="AO111" s="419" t="s">
        <v>1931</v>
      </c>
      <c r="AP111" s="415" t="s">
        <v>1654</v>
      </c>
      <c r="AQ111" s="418" t="s">
        <v>1932</v>
      </c>
      <c r="AR111" s="419" t="s">
        <v>1933</v>
      </c>
      <c r="AS111" s="416" t="s">
        <v>1654</v>
      </c>
      <c r="AT111" s="418" t="s">
        <v>1934</v>
      </c>
      <c r="AU111" s="419" t="s">
        <v>1935</v>
      </c>
      <c r="AV111" s="416" t="s">
        <v>1654</v>
      </c>
      <c r="AW111" s="418" t="s">
        <v>1936</v>
      </c>
      <c r="AX111" s="419" t="s">
        <v>1935</v>
      </c>
      <c r="AY111" s="416" t="s">
        <v>1209</v>
      </c>
      <c r="AZ111" s="418" t="s">
        <v>1937</v>
      </c>
      <c r="BA111" s="419" t="s">
        <v>1938</v>
      </c>
      <c r="BB111" s="415" t="s">
        <v>1209</v>
      </c>
      <c r="BC111" s="418" t="s">
        <v>1939</v>
      </c>
      <c r="BD111" s="419" t="s">
        <v>1940</v>
      </c>
      <c r="BE111" s="416" t="s">
        <v>770</v>
      </c>
      <c r="BF111" s="418" t="s">
        <v>1941</v>
      </c>
      <c r="BG111" s="419" t="s">
        <v>1942</v>
      </c>
      <c r="BH111" s="416" t="s">
        <v>1209</v>
      </c>
      <c r="BI111" s="418" t="s">
        <v>1943</v>
      </c>
      <c r="BJ111" s="419" t="s">
        <v>1944</v>
      </c>
      <c r="BK111" s="416" t="s">
        <v>1209</v>
      </c>
      <c r="BL111" s="418" t="s">
        <v>1945</v>
      </c>
      <c r="BM111" s="419" t="s">
        <v>1946</v>
      </c>
      <c r="BN111" s="415" t="s">
        <v>1209</v>
      </c>
      <c r="BO111" s="418" t="s">
        <v>1947</v>
      </c>
      <c r="BP111" s="419" t="s">
        <v>1948</v>
      </c>
      <c r="BQ111" s="416" t="s">
        <v>1167</v>
      </c>
      <c r="BR111" s="418" t="s">
        <v>1949</v>
      </c>
      <c r="BS111" s="419" t="s">
        <v>1950</v>
      </c>
      <c r="BT111" s="416" t="s">
        <v>1654</v>
      </c>
      <c r="BU111" s="418" t="s">
        <v>1951</v>
      </c>
      <c r="BV111" s="419" t="s">
        <v>1952</v>
      </c>
      <c r="BW111" s="416" t="s">
        <v>1325</v>
      </c>
      <c r="BX111" s="418" t="s">
        <v>1953</v>
      </c>
      <c r="BY111" s="419" t="s">
        <v>1954</v>
      </c>
      <c r="BZ111" s="415" t="s">
        <v>1325</v>
      </c>
      <c r="CA111" s="418" t="s">
        <v>1955</v>
      </c>
      <c r="CB111" s="419" t="s">
        <v>1956</v>
      </c>
    </row>
    <row r="112" spans="1:80" ht="13.5" customHeight="1" x14ac:dyDescent="0.25">
      <c r="A112" s="1127"/>
      <c r="B112" s="1129"/>
      <c r="C112" s="276" t="s">
        <v>1957</v>
      </c>
      <c r="D112" s="314" t="s">
        <v>1958</v>
      </c>
      <c r="E112" s="315"/>
      <c r="F112" s="316"/>
      <c r="G112" s="317"/>
      <c r="H112" s="318"/>
      <c r="I112" s="289">
        <v>13</v>
      </c>
      <c r="J112" s="177" t="s">
        <v>1959</v>
      </c>
      <c r="K112" s="319" t="s">
        <v>1960</v>
      </c>
      <c r="L112" s="289">
        <v>12</v>
      </c>
      <c r="M112" s="177" t="s">
        <v>1961</v>
      </c>
      <c r="N112" s="319" t="s">
        <v>1960</v>
      </c>
      <c r="O112" s="289">
        <v>12</v>
      </c>
      <c r="P112" s="177" t="s">
        <v>1962</v>
      </c>
      <c r="Q112" s="319" t="s">
        <v>1963</v>
      </c>
      <c r="R112" s="290">
        <v>12</v>
      </c>
      <c r="S112" s="177" t="s">
        <v>1964</v>
      </c>
      <c r="T112" s="319" t="s">
        <v>1965</v>
      </c>
      <c r="U112" s="289">
        <v>14</v>
      </c>
      <c r="V112" s="177" t="s">
        <v>1966</v>
      </c>
      <c r="W112" s="319" t="s">
        <v>1967</v>
      </c>
      <c r="X112" s="289">
        <v>17</v>
      </c>
      <c r="Y112" s="177" t="s">
        <v>1968</v>
      </c>
      <c r="Z112" s="319" t="s">
        <v>1967</v>
      </c>
      <c r="AA112" s="289">
        <v>18</v>
      </c>
      <c r="AB112" s="177" t="s">
        <v>1969</v>
      </c>
      <c r="AC112" s="319" t="s">
        <v>1970</v>
      </c>
      <c r="AD112" s="322" t="s">
        <v>1176</v>
      </c>
      <c r="AE112" s="177" t="s">
        <v>1971</v>
      </c>
      <c r="AF112" s="319" t="s">
        <v>1972</v>
      </c>
      <c r="AG112" s="281" t="s">
        <v>1176</v>
      </c>
      <c r="AH112" s="177" t="s">
        <v>1973</v>
      </c>
      <c r="AI112" s="319" t="s">
        <v>1974</v>
      </c>
      <c r="AJ112" s="320" t="s">
        <v>1517</v>
      </c>
      <c r="AK112" s="182" t="s">
        <v>1975</v>
      </c>
      <c r="AL112" s="321" t="s">
        <v>1976</v>
      </c>
      <c r="AM112" s="281" t="s">
        <v>1176</v>
      </c>
      <c r="AN112" s="182" t="s">
        <v>1977</v>
      </c>
      <c r="AO112" s="321" t="s">
        <v>1978</v>
      </c>
      <c r="AP112" s="322" t="s">
        <v>1517</v>
      </c>
      <c r="AQ112" s="182" t="s">
        <v>1979</v>
      </c>
      <c r="AR112" s="321" t="s">
        <v>1980</v>
      </c>
      <c r="AS112" s="281" t="s">
        <v>1176</v>
      </c>
      <c r="AT112" s="182" t="s">
        <v>1981</v>
      </c>
      <c r="AU112" s="321" t="s">
        <v>1982</v>
      </c>
      <c r="AV112" s="281" t="s">
        <v>1176</v>
      </c>
      <c r="AW112" s="182" t="s">
        <v>1983</v>
      </c>
      <c r="AX112" s="321" t="s">
        <v>1984</v>
      </c>
      <c r="AY112" s="281" t="s">
        <v>1204</v>
      </c>
      <c r="AZ112" s="182" t="s">
        <v>1985</v>
      </c>
      <c r="BA112" s="321" t="s">
        <v>1986</v>
      </c>
      <c r="BB112" s="322" t="s">
        <v>1597</v>
      </c>
      <c r="BC112" s="182" t="s">
        <v>1987</v>
      </c>
      <c r="BD112" s="321" t="s">
        <v>1988</v>
      </c>
      <c r="BE112" s="281" t="s">
        <v>1204</v>
      </c>
      <c r="BF112" s="182" t="s">
        <v>1989</v>
      </c>
      <c r="BG112" s="321" t="s">
        <v>1990</v>
      </c>
      <c r="BH112" s="281" t="s">
        <v>1991</v>
      </c>
      <c r="BI112" s="182" t="s">
        <v>1992</v>
      </c>
      <c r="BJ112" s="321" t="s">
        <v>1993</v>
      </c>
      <c r="BK112" s="281" t="s">
        <v>1991</v>
      </c>
      <c r="BL112" s="182" t="s">
        <v>1994</v>
      </c>
      <c r="BM112" s="321" t="s">
        <v>1995</v>
      </c>
      <c r="BN112" s="322" t="s">
        <v>1991</v>
      </c>
      <c r="BO112" s="182" t="s">
        <v>1996</v>
      </c>
      <c r="BP112" s="321" t="s">
        <v>1997</v>
      </c>
      <c r="BQ112" s="281" t="s">
        <v>1204</v>
      </c>
      <c r="BR112" s="182" t="s">
        <v>1998</v>
      </c>
      <c r="BS112" s="321" t="s">
        <v>1999</v>
      </c>
      <c r="BT112" s="281" t="s">
        <v>1176</v>
      </c>
      <c r="BU112" s="182" t="s">
        <v>2000</v>
      </c>
      <c r="BV112" s="321" t="s">
        <v>2001</v>
      </c>
      <c r="BW112" s="281" t="s">
        <v>1339</v>
      </c>
      <c r="BX112" s="182" t="s">
        <v>2002</v>
      </c>
      <c r="BY112" s="321" t="s">
        <v>2003</v>
      </c>
      <c r="BZ112" s="322" t="s">
        <v>613</v>
      </c>
      <c r="CA112" s="182" t="s">
        <v>2004</v>
      </c>
      <c r="CB112" s="321" t="s">
        <v>2005</v>
      </c>
    </row>
    <row r="113" spans="1:84" ht="13.5" customHeight="1" x14ac:dyDescent="0.25">
      <c r="A113" s="1127"/>
      <c r="B113" s="1129"/>
      <c r="C113" s="276" t="s">
        <v>2006</v>
      </c>
      <c r="D113" s="324" t="s">
        <v>2007</v>
      </c>
      <c r="E113" s="315"/>
      <c r="F113" s="316"/>
      <c r="G113" s="317"/>
      <c r="H113" s="318"/>
      <c r="I113" s="289" t="s">
        <v>2008</v>
      </c>
      <c r="J113" s="177" t="s">
        <v>2009</v>
      </c>
      <c r="K113" s="177" t="s">
        <v>2010</v>
      </c>
      <c r="L113" s="289" t="s">
        <v>2008</v>
      </c>
      <c r="M113" s="177" t="s">
        <v>2009</v>
      </c>
      <c r="N113" s="177" t="s">
        <v>2010</v>
      </c>
      <c r="O113" s="289" t="s">
        <v>2008</v>
      </c>
      <c r="P113" s="177" t="s">
        <v>2009</v>
      </c>
      <c r="Q113" s="177" t="s">
        <v>2010</v>
      </c>
      <c r="R113" s="290" t="s">
        <v>2008</v>
      </c>
      <c r="S113" s="177" t="s">
        <v>2009</v>
      </c>
      <c r="T113" s="177" t="s">
        <v>2010</v>
      </c>
      <c r="U113" s="289" t="s">
        <v>2008</v>
      </c>
      <c r="V113" s="177" t="s">
        <v>2009</v>
      </c>
      <c r="W113" s="177" t="s">
        <v>2010</v>
      </c>
      <c r="X113" s="289" t="s">
        <v>2008</v>
      </c>
      <c r="Y113" s="177" t="s">
        <v>2009</v>
      </c>
      <c r="Z113" s="177" t="s">
        <v>2010</v>
      </c>
      <c r="AA113" s="289" t="s">
        <v>2008</v>
      </c>
      <c r="AB113" s="177" t="s">
        <v>2009</v>
      </c>
      <c r="AC113" s="177" t="s">
        <v>2010</v>
      </c>
      <c r="AD113" s="322" t="s">
        <v>2008</v>
      </c>
      <c r="AE113" s="177" t="s">
        <v>2009</v>
      </c>
      <c r="AF113" s="177" t="s">
        <v>2010</v>
      </c>
      <c r="AG113" s="281" t="s">
        <v>2008</v>
      </c>
      <c r="AH113" s="177" t="s">
        <v>2009</v>
      </c>
      <c r="AI113" s="177" t="s">
        <v>2010</v>
      </c>
      <c r="AJ113" s="320" t="s">
        <v>2008</v>
      </c>
      <c r="AK113" s="182" t="s">
        <v>2009</v>
      </c>
      <c r="AL113" s="182" t="s">
        <v>2010</v>
      </c>
      <c r="AM113" s="281" t="s">
        <v>2008</v>
      </c>
      <c r="AN113" s="182" t="s">
        <v>2009</v>
      </c>
      <c r="AO113" s="182" t="s">
        <v>2010</v>
      </c>
      <c r="AP113" s="322" t="s">
        <v>2008</v>
      </c>
      <c r="AQ113" s="182" t="s">
        <v>2009</v>
      </c>
      <c r="AR113" s="182" t="s">
        <v>2010</v>
      </c>
      <c r="AS113" s="281" t="s">
        <v>2008</v>
      </c>
      <c r="AT113" s="182" t="s">
        <v>2009</v>
      </c>
      <c r="AU113" s="182" t="s">
        <v>2010</v>
      </c>
      <c r="AV113" s="281" t="s">
        <v>2008</v>
      </c>
      <c r="AW113" s="182" t="s">
        <v>2009</v>
      </c>
      <c r="AX113" s="182" t="s">
        <v>2010</v>
      </c>
      <c r="AY113" s="281" t="s">
        <v>2008</v>
      </c>
      <c r="AZ113" s="182" t="s">
        <v>2009</v>
      </c>
      <c r="BA113" s="182" t="s">
        <v>2010</v>
      </c>
      <c r="BB113" s="281" t="s">
        <v>2008</v>
      </c>
      <c r="BC113" s="182" t="s">
        <v>2009</v>
      </c>
      <c r="BD113" s="182" t="s">
        <v>2010</v>
      </c>
      <c r="BE113" s="281" t="s">
        <v>2008</v>
      </c>
      <c r="BF113" s="182" t="s">
        <v>2009</v>
      </c>
      <c r="BG113" s="182" t="s">
        <v>2010</v>
      </c>
      <c r="BH113" s="281" t="s">
        <v>2008</v>
      </c>
      <c r="BI113" s="182" t="s">
        <v>2009</v>
      </c>
      <c r="BJ113" s="182" t="s">
        <v>2010</v>
      </c>
      <c r="BK113" s="281" t="s">
        <v>2008</v>
      </c>
      <c r="BL113" s="182" t="s">
        <v>2009</v>
      </c>
      <c r="BM113" s="182" t="s">
        <v>2010</v>
      </c>
      <c r="BN113" s="281" t="s">
        <v>2008</v>
      </c>
      <c r="BO113" s="182" t="s">
        <v>2009</v>
      </c>
      <c r="BP113" s="182" t="s">
        <v>2010</v>
      </c>
      <c r="BQ113" s="281" t="s">
        <v>2008</v>
      </c>
      <c r="BR113" s="182" t="s">
        <v>2009</v>
      </c>
      <c r="BS113" s="182" t="s">
        <v>2010</v>
      </c>
      <c r="BT113" s="281" t="s">
        <v>2008</v>
      </c>
      <c r="BU113" s="182" t="s">
        <v>2009</v>
      </c>
      <c r="BV113" s="182" t="s">
        <v>2010</v>
      </c>
      <c r="BW113" s="281" t="s">
        <v>2008</v>
      </c>
      <c r="BX113" s="182" t="s">
        <v>2009</v>
      </c>
      <c r="BY113" s="182" t="s">
        <v>2010</v>
      </c>
      <c r="BZ113" s="281" t="s">
        <v>2008</v>
      </c>
      <c r="CA113" s="182" t="s">
        <v>2009</v>
      </c>
      <c r="CB113" s="182" t="s">
        <v>2010</v>
      </c>
    </row>
    <row r="114" spans="1:84" ht="13.5" customHeight="1" x14ac:dyDescent="0.25">
      <c r="A114" s="1127"/>
      <c r="B114" s="1129"/>
      <c r="C114" s="276" t="s">
        <v>2011</v>
      </c>
      <c r="D114" s="314" t="s">
        <v>2012</v>
      </c>
      <c r="E114" s="315"/>
      <c r="F114" s="316"/>
      <c r="G114" s="317"/>
      <c r="H114" s="318"/>
      <c r="I114" s="289">
        <v>72</v>
      </c>
      <c r="J114" s="177" t="s">
        <v>2013</v>
      </c>
      <c r="K114" s="319" t="s">
        <v>2014</v>
      </c>
      <c r="L114" s="289">
        <v>71</v>
      </c>
      <c r="M114" s="177" t="s">
        <v>2015</v>
      </c>
      <c r="N114" s="319" t="s">
        <v>2016</v>
      </c>
      <c r="O114" s="289">
        <v>72</v>
      </c>
      <c r="P114" s="177" t="s">
        <v>2017</v>
      </c>
      <c r="Q114" s="319" t="s">
        <v>2018</v>
      </c>
      <c r="R114" s="290">
        <v>68</v>
      </c>
      <c r="S114" s="177" t="s">
        <v>2019</v>
      </c>
      <c r="T114" s="319" t="s">
        <v>2020</v>
      </c>
      <c r="U114" s="289">
        <v>69</v>
      </c>
      <c r="V114" s="177" t="s">
        <v>2021</v>
      </c>
      <c r="W114" s="319" t="s">
        <v>2022</v>
      </c>
      <c r="X114" s="289">
        <v>88</v>
      </c>
      <c r="Y114" s="177" t="s">
        <v>2023</v>
      </c>
      <c r="Z114" s="319" t="s">
        <v>2024</v>
      </c>
      <c r="AA114" s="289">
        <v>124</v>
      </c>
      <c r="AB114" s="177" t="s">
        <v>2025</v>
      </c>
      <c r="AC114" s="319" t="s">
        <v>2026</v>
      </c>
      <c r="AD114" s="322" t="s">
        <v>2027</v>
      </c>
      <c r="AE114" s="177" t="s">
        <v>2028</v>
      </c>
      <c r="AF114" s="319" t="s">
        <v>2029</v>
      </c>
      <c r="AG114" s="281" t="s">
        <v>1080</v>
      </c>
      <c r="AH114" s="177" t="s">
        <v>2030</v>
      </c>
      <c r="AI114" s="319" t="s">
        <v>2031</v>
      </c>
      <c r="AJ114" s="320" t="s">
        <v>2027</v>
      </c>
      <c r="AK114" s="182" t="s">
        <v>2032</v>
      </c>
      <c r="AL114" s="321" t="s">
        <v>2033</v>
      </c>
      <c r="AM114" s="281" t="s">
        <v>2034</v>
      </c>
      <c r="AN114" s="182" t="s">
        <v>2035</v>
      </c>
      <c r="AO114" s="321" t="s">
        <v>2036</v>
      </c>
      <c r="AP114" s="322" t="s">
        <v>1080</v>
      </c>
      <c r="AQ114" s="182" t="s">
        <v>2037</v>
      </c>
      <c r="AR114" s="321" t="s">
        <v>2038</v>
      </c>
      <c r="AS114" s="281" t="s">
        <v>1804</v>
      </c>
      <c r="AT114" s="182" t="s">
        <v>2039</v>
      </c>
      <c r="AU114" s="321" t="s">
        <v>2040</v>
      </c>
      <c r="AV114" s="281" t="s">
        <v>324</v>
      </c>
      <c r="AW114" s="182" t="s">
        <v>2041</v>
      </c>
      <c r="AX114" s="321" t="s">
        <v>2042</v>
      </c>
      <c r="AY114" s="281" t="s">
        <v>2043</v>
      </c>
      <c r="AZ114" s="182" t="s">
        <v>2044</v>
      </c>
      <c r="BA114" s="321" t="s">
        <v>2045</v>
      </c>
      <c r="BB114" s="322" t="s">
        <v>1804</v>
      </c>
      <c r="BC114" s="182" t="s">
        <v>2046</v>
      </c>
      <c r="BD114" s="321" t="s">
        <v>2047</v>
      </c>
      <c r="BE114" s="281" t="s">
        <v>2027</v>
      </c>
      <c r="BF114" s="182" t="s">
        <v>2048</v>
      </c>
      <c r="BG114" s="321" t="s">
        <v>2049</v>
      </c>
      <c r="BH114" s="281" t="s">
        <v>1804</v>
      </c>
      <c r="BI114" s="182" t="s">
        <v>2050</v>
      </c>
      <c r="BJ114" s="321" t="s">
        <v>2051</v>
      </c>
      <c r="BK114" s="281" t="s">
        <v>2052</v>
      </c>
      <c r="BL114" s="182" t="s">
        <v>2053</v>
      </c>
      <c r="BM114" s="321" t="s">
        <v>2054</v>
      </c>
      <c r="BN114" s="322" t="s">
        <v>2052</v>
      </c>
      <c r="BO114" s="182" t="s">
        <v>2055</v>
      </c>
      <c r="BP114" s="321" t="s">
        <v>2056</v>
      </c>
      <c r="BQ114" s="281" t="s">
        <v>2057</v>
      </c>
      <c r="BR114" s="182" t="s">
        <v>2058</v>
      </c>
      <c r="BS114" s="321" t="s">
        <v>2059</v>
      </c>
      <c r="BT114" s="281" t="s">
        <v>1152</v>
      </c>
      <c r="BU114" s="182" t="s">
        <v>2060</v>
      </c>
      <c r="BV114" s="321" t="s">
        <v>2061</v>
      </c>
      <c r="BW114" s="281" t="s">
        <v>1152</v>
      </c>
      <c r="BX114" s="182" t="s">
        <v>2062</v>
      </c>
      <c r="BY114" s="321" t="s">
        <v>2061</v>
      </c>
      <c r="BZ114" s="322" t="s">
        <v>2063</v>
      </c>
      <c r="CA114" s="182" t="s">
        <v>2064</v>
      </c>
      <c r="CB114" s="321" t="s">
        <v>2065</v>
      </c>
    </row>
    <row r="115" spans="1:84" ht="13.5" customHeight="1" thickBot="1" x14ac:dyDescent="0.3">
      <c r="A115" s="1127"/>
      <c r="B115" s="1130"/>
      <c r="C115" s="276" t="s">
        <v>2066</v>
      </c>
      <c r="D115" s="314" t="s">
        <v>2067</v>
      </c>
      <c r="E115" s="420"/>
      <c r="F115" s="421"/>
      <c r="G115" s="422"/>
      <c r="H115" s="423"/>
      <c r="I115" s="296">
        <v>41</v>
      </c>
      <c r="J115" s="424" t="s">
        <v>2068</v>
      </c>
      <c r="K115" s="425" t="s">
        <v>2069</v>
      </c>
      <c r="L115" s="296">
        <v>40</v>
      </c>
      <c r="M115" s="424" t="s">
        <v>2070</v>
      </c>
      <c r="N115" s="425" t="s">
        <v>2071</v>
      </c>
      <c r="O115" s="296">
        <v>38</v>
      </c>
      <c r="P115" s="424" t="s">
        <v>2072</v>
      </c>
      <c r="Q115" s="425" t="s">
        <v>2073</v>
      </c>
      <c r="R115" s="299">
        <v>40</v>
      </c>
      <c r="S115" s="424" t="s">
        <v>2074</v>
      </c>
      <c r="T115" s="425" t="s">
        <v>2075</v>
      </c>
      <c r="U115" s="296">
        <v>51</v>
      </c>
      <c r="V115" s="424" t="s">
        <v>2076</v>
      </c>
      <c r="W115" s="425" t="s">
        <v>2077</v>
      </c>
      <c r="X115" s="296">
        <v>63</v>
      </c>
      <c r="Y115" s="424" t="s">
        <v>2078</v>
      </c>
      <c r="Z115" s="425" t="s">
        <v>2079</v>
      </c>
      <c r="AA115" s="296">
        <v>72</v>
      </c>
      <c r="AB115" s="424" t="s">
        <v>2080</v>
      </c>
      <c r="AC115" s="425" t="s">
        <v>2081</v>
      </c>
      <c r="AD115" s="426" t="s">
        <v>1125</v>
      </c>
      <c r="AE115" s="424" t="s">
        <v>2082</v>
      </c>
      <c r="AF115" s="425" t="s">
        <v>2083</v>
      </c>
      <c r="AG115" s="427" t="s">
        <v>885</v>
      </c>
      <c r="AH115" s="424" t="s">
        <v>2084</v>
      </c>
      <c r="AI115" s="425" t="s">
        <v>2085</v>
      </c>
      <c r="AJ115" s="428" t="s">
        <v>1149</v>
      </c>
      <c r="AK115" s="429" t="s">
        <v>2086</v>
      </c>
      <c r="AL115" s="430" t="s">
        <v>2087</v>
      </c>
      <c r="AM115" s="427" t="s">
        <v>2088</v>
      </c>
      <c r="AN115" s="429" t="s">
        <v>2089</v>
      </c>
      <c r="AO115" s="430" t="s">
        <v>2090</v>
      </c>
      <c r="AP115" s="426" t="s">
        <v>885</v>
      </c>
      <c r="AQ115" s="429" t="s">
        <v>2091</v>
      </c>
      <c r="AR115" s="430" t="s">
        <v>2092</v>
      </c>
      <c r="AS115" s="427" t="s">
        <v>1149</v>
      </c>
      <c r="AT115" s="429" t="s">
        <v>2093</v>
      </c>
      <c r="AU115" s="430" t="s">
        <v>2094</v>
      </c>
      <c r="AV115" s="427" t="s">
        <v>2088</v>
      </c>
      <c r="AW115" s="429" t="s">
        <v>2095</v>
      </c>
      <c r="AX115" s="430" t="s">
        <v>2096</v>
      </c>
      <c r="AY115" s="427" t="s">
        <v>1220</v>
      </c>
      <c r="AZ115" s="429" t="s">
        <v>2097</v>
      </c>
      <c r="BA115" s="430" t="s">
        <v>2098</v>
      </c>
      <c r="BB115" s="426" t="s">
        <v>1089</v>
      </c>
      <c r="BC115" s="429" t="s">
        <v>2099</v>
      </c>
      <c r="BD115" s="430" t="s">
        <v>2100</v>
      </c>
      <c r="BE115" s="427" t="s">
        <v>1141</v>
      </c>
      <c r="BF115" s="429" t="s">
        <v>2101</v>
      </c>
      <c r="BG115" s="430" t="s">
        <v>2102</v>
      </c>
      <c r="BH115" s="427" t="s">
        <v>1136</v>
      </c>
      <c r="BI115" s="429" t="s">
        <v>2103</v>
      </c>
      <c r="BJ115" s="430" t="s">
        <v>2104</v>
      </c>
      <c r="BK115" s="427" t="s">
        <v>2105</v>
      </c>
      <c r="BL115" s="429" t="s">
        <v>2106</v>
      </c>
      <c r="BM115" s="430" t="s">
        <v>2107</v>
      </c>
      <c r="BN115" s="426" t="s">
        <v>2088</v>
      </c>
      <c r="BO115" s="429" t="s">
        <v>2108</v>
      </c>
      <c r="BP115" s="430" t="s">
        <v>2109</v>
      </c>
      <c r="BQ115" s="427" t="s">
        <v>1157</v>
      </c>
      <c r="BR115" s="429" t="s">
        <v>2110</v>
      </c>
      <c r="BS115" s="430" t="s">
        <v>2111</v>
      </c>
      <c r="BT115" s="427" t="s">
        <v>1558</v>
      </c>
      <c r="BU115" s="429" t="s">
        <v>2112</v>
      </c>
      <c r="BV115" s="430" t="s">
        <v>2113</v>
      </c>
      <c r="BW115" s="427" t="s">
        <v>2114</v>
      </c>
      <c r="BX115" s="429" t="s">
        <v>2115</v>
      </c>
      <c r="BY115" s="430" t="s">
        <v>2116</v>
      </c>
      <c r="BZ115" s="426" t="s">
        <v>1431</v>
      </c>
      <c r="CA115" s="429" t="s">
        <v>2117</v>
      </c>
      <c r="CB115" s="430" t="s">
        <v>2118</v>
      </c>
    </row>
    <row r="116" spans="1:84" x14ac:dyDescent="0.25">
      <c r="A116" s="1132" t="s">
        <v>28</v>
      </c>
      <c r="B116" s="1133"/>
      <c r="C116" s="1133"/>
      <c r="D116" s="1133"/>
      <c r="E116" s="1138"/>
      <c r="F116" s="1139"/>
      <c r="G116" s="1139"/>
      <c r="H116" s="1139"/>
      <c r="I116" s="1139"/>
      <c r="J116" s="1139"/>
      <c r="K116" s="1139"/>
      <c r="L116" s="1139"/>
      <c r="M116" s="1139"/>
      <c r="N116" s="1139"/>
      <c r="O116" s="1139"/>
      <c r="P116" s="1139"/>
      <c r="Q116" s="1139"/>
      <c r="R116" s="1139"/>
      <c r="S116" s="1139"/>
      <c r="T116" s="1140"/>
      <c r="U116" s="1138"/>
      <c r="V116" s="1139"/>
      <c r="W116" s="1139"/>
      <c r="X116" s="1139"/>
      <c r="Y116" s="1139"/>
      <c r="Z116" s="1139"/>
      <c r="AA116" s="1139"/>
      <c r="AB116" s="1139"/>
      <c r="AC116" s="1139"/>
      <c r="AD116" s="1139"/>
      <c r="AE116" s="1139"/>
      <c r="AF116" s="1139"/>
      <c r="AG116" s="1139"/>
      <c r="AH116" s="1139"/>
      <c r="AI116" s="1139"/>
      <c r="AJ116" s="1140"/>
      <c r="AK116" s="1138"/>
      <c r="AL116" s="1139"/>
      <c r="AM116" s="1139"/>
      <c r="AN116" s="1139"/>
      <c r="AO116" s="1139"/>
      <c r="AP116" s="1139"/>
      <c r="AQ116" s="1139"/>
      <c r="AR116" s="1139"/>
      <c r="AS116" s="1139"/>
      <c r="AT116" s="1139"/>
      <c r="AU116" s="1139"/>
      <c r="AV116" s="1139"/>
      <c r="AW116" s="1139"/>
      <c r="AX116" s="1139"/>
      <c r="AY116" s="1139"/>
      <c r="AZ116" s="1140"/>
      <c r="BA116" s="1138"/>
      <c r="BB116" s="1139"/>
      <c r="BC116" s="1139"/>
      <c r="BD116" s="1139"/>
      <c r="BE116" s="1139"/>
      <c r="BF116" s="1139"/>
      <c r="BG116" s="1139"/>
      <c r="BH116" s="1139"/>
      <c r="BI116" s="1139"/>
      <c r="BJ116" s="1139"/>
      <c r="BK116" s="1139"/>
      <c r="BL116" s="1139"/>
      <c r="BM116" s="1139"/>
      <c r="BN116" s="1139"/>
      <c r="BO116" s="1139"/>
      <c r="BP116" s="1140"/>
      <c r="BQ116" s="1138"/>
      <c r="BR116" s="1139"/>
      <c r="BS116" s="1139"/>
      <c r="BT116" s="1139"/>
      <c r="BU116" s="1139"/>
      <c r="BV116" s="1139"/>
      <c r="BW116" s="1139"/>
      <c r="BX116" s="1139"/>
      <c r="BY116" s="1139"/>
      <c r="BZ116" s="1139"/>
      <c r="CA116" s="1139"/>
      <c r="CB116" s="1139"/>
      <c r="CC116" s="1139"/>
      <c r="CD116" s="1139"/>
      <c r="CE116" s="1139"/>
      <c r="CF116" s="1140"/>
    </row>
    <row r="117" spans="1:84" ht="12.75" customHeight="1" x14ac:dyDescent="0.25">
      <c r="A117" s="1134"/>
      <c r="B117" s="1135"/>
      <c r="C117" s="1135"/>
      <c r="D117" s="1135"/>
      <c r="E117" s="1141"/>
      <c r="F117" s="1142"/>
      <c r="G117" s="1142"/>
      <c r="H117" s="1142"/>
      <c r="I117" s="1142"/>
      <c r="J117" s="1142"/>
      <c r="K117" s="1142"/>
      <c r="L117" s="1142"/>
      <c r="M117" s="1142"/>
      <c r="N117" s="1142"/>
      <c r="O117" s="1142"/>
      <c r="P117" s="1142"/>
      <c r="Q117" s="1142"/>
      <c r="R117" s="1142"/>
      <c r="S117" s="1142"/>
      <c r="T117" s="1143"/>
      <c r="U117" s="1141"/>
      <c r="V117" s="1142"/>
      <c r="W117" s="1142"/>
      <c r="X117" s="1142"/>
      <c r="Y117" s="1142"/>
      <c r="Z117" s="1142"/>
      <c r="AA117" s="1142"/>
      <c r="AB117" s="1142"/>
      <c r="AC117" s="1142"/>
      <c r="AD117" s="1142"/>
      <c r="AE117" s="1142"/>
      <c r="AF117" s="1142"/>
      <c r="AG117" s="1142"/>
      <c r="AH117" s="1142"/>
      <c r="AI117" s="1142"/>
      <c r="AJ117" s="1143"/>
      <c r="AK117" s="1141"/>
      <c r="AL117" s="1142"/>
      <c r="AM117" s="1142"/>
      <c r="AN117" s="1142"/>
      <c r="AO117" s="1142"/>
      <c r="AP117" s="1142"/>
      <c r="AQ117" s="1142"/>
      <c r="AR117" s="1142"/>
      <c r="AS117" s="1142"/>
      <c r="AT117" s="1142"/>
      <c r="AU117" s="1142"/>
      <c r="AV117" s="1142"/>
      <c r="AW117" s="1142"/>
      <c r="AX117" s="1142"/>
      <c r="AY117" s="1142"/>
      <c r="AZ117" s="1143"/>
      <c r="BA117" s="1141"/>
      <c r="BB117" s="1142"/>
      <c r="BC117" s="1142"/>
      <c r="BD117" s="1142"/>
      <c r="BE117" s="1142"/>
      <c r="BF117" s="1142"/>
      <c r="BG117" s="1142"/>
      <c r="BH117" s="1142"/>
      <c r="BI117" s="1142"/>
      <c r="BJ117" s="1142"/>
      <c r="BK117" s="1142"/>
      <c r="BL117" s="1142"/>
      <c r="BM117" s="1142"/>
      <c r="BN117" s="1142"/>
      <c r="BO117" s="1142"/>
      <c r="BP117" s="1143"/>
      <c r="BQ117" s="1141"/>
      <c r="BR117" s="1142"/>
      <c r="BS117" s="1142"/>
      <c r="BT117" s="1142"/>
      <c r="BU117" s="1142"/>
      <c r="BV117" s="1142"/>
      <c r="BW117" s="1142"/>
      <c r="BX117" s="1142"/>
      <c r="BY117" s="1142"/>
      <c r="BZ117" s="1142"/>
      <c r="CA117" s="1142"/>
      <c r="CB117" s="1142"/>
      <c r="CC117" s="1142"/>
      <c r="CD117" s="1142"/>
      <c r="CE117" s="1142"/>
      <c r="CF117" s="1143"/>
    </row>
    <row r="118" spans="1:84" ht="13.5" customHeight="1" thickBot="1" x14ac:dyDescent="0.3">
      <c r="A118" s="1136"/>
      <c r="B118" s="1137"/>
      <c r="C118" s="1137"/>
      <c r="D118" s="1137"/>
      <c r="E118" s="1144"/>
      <c r="F118" s="1145"/>
      <c r="G118" s="1145"/>
      <c r="H118" s="1145"/>
      <c r="I118" s="1145"/>
      <c r="J118" s="1145"/>
      <c r="K118" s="1145"/>
      <c r="L118" s="1145"/>
      <c r="M118" s="1145"/>
      <c r="N118" s="1145"/>
      <c r="O118" s="1145"/>
      <c r="P118" s="1145"/>
      <c r="Q118" s="1145"/>
      <c r="R118" s="1145"/>
      <c r="S118" s="1145"/>
      <c r="T118" s="1146"/>
      <c r="U118" s="1144"/>
      <c r="V118" s="1145"/>
      <c r="W118" s="1145"/>
      <c r="X118" s="1145"/>
      <c r="Y118" s="1145"/>
      <c r="Z118" s="1145"/>
      <c r="AA118" s="1145"/>
      <c r="AB118" s="1145"/>
      <c r="AC118" s="1145"/>
      <c r="AD118" s="1145"/>
      <c r="AE118" s="1145"/>
      <c r="AF118" s="1145"/>
      <c r="AG118" s="1145"/>
      <c r="AH118" s="1145"/>
      <c r="AI118" s="1145"/>
      <c r="AJ118" s="1146"/>
      <c r="AK118" s="1144"/>
      <c r="AL118" s="1145"/>
      <c r="AM118" s="1145"/>
      <c r="AN118" s="1145"/>
      <c r="AO118" s="1145"/>
      <c r="AP118" s="1145"/>
      <c r="AQ118" s="1145"/>
      <c r="AR118" s="1145"/>
      <c r="AS118" s="1145"/>
      <c r="AT118" s="1145"/>
      <c r="AU118" s="1145"/>
      <c r="AV118" s="1145"/>
      <c r="AW118" s="1145"/>
      <c r="AX118" s="1145"/>
      <c r="AY118" s="1145"/>
      <c r="AZ118" s="1146"/>
      <c r="BA118" s="1144"/>
      <c r="BB118" s="1145"/>
      <c r="BC118" s="1145"/>
      <c r="BD118" s="1145"/>
      <c r="BE118" s="1145"/>
      <c r="BF118" s="1145"/>
      <c r="BG118" s="1145"/>
      <c r="BH118" s="1145"/>
      <c r="BI118" s="1145"/>
      <c r="BJ118" s="1145"/>
      <c r="BK118" s="1145"/>
      <c r="BL118" s="1145"/>
      <c r="BM118" s="1145"/>
      <c r="BN118" s="1145"/>
      <c r="BO118" s="1145"/>
      <c r="BP118" s="1146"/>
      <c r="BQ118" s="1144"/>
      <c r="BR118" s="1145"/>
      <c r="BS118" s="1145"/>
      <c r="BT118" s="1145"/>
      <c r="BU118" s="1145"/>
      <c r="BV118" s="1145"/>
      <c r="BW118" s="1145"/>
      <c r="BX118" s="1145"/>
      <c r="BY118" s="1145"/>
      <c r="BZ118" s="1145"/>
      <c r="CA118" s="1145"/>
      <c r="CB118" s="1145"/>
      <c r="CC118" s="1145"/>
      <c r="CD118" s="1145"/>
      <c r="CE118" s="1145"/>
      <c r="CF118" s="1146"/>
    </row>
    <row r="119" spans="1:84" ht="13.5" customHeight="1" x14ac:dyDescent="0.25"/>
    <row r="120" spans="1:84" ht="12.75" hidden="1" customHeight="1" x14ac:dyDescent="0.25"/>
    <row r="122" spans="1:84" ht="15" customHeight="1" x14ac:dyDescent="0.25"/>
    <row r="123" spans="1:84" ht="15" customHeight="1" x14ac:dyDescent="0.25">
      <c r="A123" s="1126" t="s">
        <v>2119</v>
      </c>
      <c r="B123" s="1126"/>
      <c r="C123" s="1126"/>
      <c r="D123" s="1126"/>
      <c r="E123" s="1126"/>
      <c r="F123" s="1126"/>
      <c r="G123" s="1126"/>
      <c r="H123" s="1126"/>
      <c r="I123" s="1126"/>
      <c r="J123" s="1126"/>
      <c r="K123" s="1126"/>
      <c r="L123" s="1126"/>
      <c r="M123" s="1126"/>
      <c r="N123" s="1126"/>
      <c r="O123" s="1126"/>
      <c r="P123" s="1126"/>
      <c r="Q123" s="1126"/>
      <c r="R123" s="1126"/>
      <c r="S123" s="1126"/>
      <c r="T123" s="1126"/>
      <c r="U123" s="169"/>
    </row>
    <row r="124" spans="1:84" ht="12" customHeight="1" x14ac:dyDescent="0.25">
      <c r="A124" s="1126"/>
      <c r="B124" s="1126"/>
      <c r="C124" s="1126"/>
      <c r="D124" s="1126"/>
      <c r="E124" s="1126"/>
      <c r="F124" s="1126"/>
      <c r="G124" s="1126"/>
      <c r="H124" s="1126"/>
      <c r="I124" s="1126"/>
      <c r="J124" s="1126"/>
      <c r="K124" s="1126"/>
      <c r="L124" s="1126"/>
      <c r="M124" s="1126"/>
      <c r="N124" s="1126"/>
      <c r="O124" s="1126"/>
      <c r="P124" s="1126"/>
      <c r="Q124" s="1126"/>
      <c r="R124" s="1126"/>
      <c r="S124" s="1126"/>
      <c r="T124" s="1126"/>
      <c r="U124" s="169"/>
    </row>
    <row r="125" spans="1:84" ht="16.5" x14ac:dyDescent="0.25">
      <c r="A125" s="431"/>
      <c r="B125" s="431"/>
      <c r="C125" s="431"/>
      <c r="D125" s="431"/>
      <c r="E125" s="431" t="s">
        <v>0</v>
      </c>
      <c r="F125" s="431"/>
      <c r="G125" s="431"/>
      <c r="H125" s="431"/>
      <c r="I125" s="431"/>
      <c r="J125" s="431"/>
      <c r="K125" s="431"/>
      <c r="L125" s="431"/>
      <c r="M125" s="431"/>
      <c r="N125" s="431"/>
      <c r="O125" s="431"/>
      <c r="P125" s="431"/>
      <c r="Q125" s="431"/>
      <c r="R125" s="431"/>
      <c r="S125" s="431"/>
      <c r="T125" s="431"/>
      <c r="U125" s="431"/>
      <c r="V125" s="431"/>
      <c r="W125" s="431"/>
      <c r="X125" s="431"/>
      <c r="Y125" s="431"/>
      <c r="Z125" s="431"/>
      <c r="AA125" s="431"/>
      <c r="AB125" s="431"/>
      <c r="AC125" s="431"/>
      <c r="AD125" s="431"/>
      <c r="AE125" s="431"/>
      <c r="AF125" s="431"/>
      <c r="AG125" s="431"/>
      <c r="AH125" s="431"/>
      <c r="AI125" s="431"/>
      <c r="AJ125" s="431"/>
      <c r="AK125" s="431"/>
      <c r="AL125" s="431"/>
      <c r="AM125" s="431"/>
      <c r="AN125" s="431"/>
      <c r="AO125" s="431"/>
      <c r="AP125" s="431"/>
      <c r="AQ125" s="431"/>
      <c r="AR125" s="431"/>
      <c r="AS125" s="431"/>
      <c r="AT125" s="431"/>
      <c r="AU125" s="431"/>
      <c r="AV125" s="431"/>
      <c r="AW125" s="431"/>
      <c r="AX125" s="431"/>
      <c r="AY125" s="431"/>
      <c r="AZ125" s="431"/>
      <c r="BA125" s="431"/>
      <c r="BB125" s="431"/>
      <c r="BC125" s="431"/>
      <c r="BD125" s="431"/>
      <c r="BE125" s="431"/>
      <c r="BF125" s="431"/>
      <c r="BG125" s="431"/>
      <c r="BH125" s="431"/>
      <c r="BI125" s="431"/>
      <c r="BJ125" s="431"/>
      <c r="BK125" s="431"/>
      <c r="BL125" s="431"/>
      <c r="BM125" s="431"/>
      <c r="BN125" s="431"/>
      <c r="BO125" s="431"/>
      <c r="BP125" s="431"/>
      <c r="BQ125" s="431"/>
      <c r="BR125" s="431"/>
      <c r="BS125" s="431"/>
      <c r="BT125" s="431"/>
      <c r="BU125" s="431"/>
      <c r="BV125" s="431"/>
      <c r="BW125" s="431"/>
      <c r="BX125" s="431"/>
      <c r="BY125" s="431"/>
      <c r="BZ125" s="431"/>
      <c r="CA125" s="431"/>
      <c r="CB125" s="431"/>
    </row>
    <row r="126" spans="1:84" ht="13.5" customHeight="1" x14ac:dyDescent="0.25"/>
    <row r="127" spans="1:84" hidden="1" x14ac:dyDescent="0.25"/>
    <row r="128" spans="1:84" hidden="1" x14ac:dyDescent="0.25"/>
    <row r="129" spans="1:80" ht="15.75" hidden="1" customHeight="1" x14ac:dyDescent="0.25"/>
    <row r="130" spans="1:80" hidden="1" x14ac:dyDescent="0.25"/>
    <row r="134" spans="1:80" s="432" customFormat="1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</row>
    <row r="135" spans="1:80" s="432" customFormat="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</row>
  </sheetData>
  <mergeCells count="712">
    <mergeCell ref="R11:T11"/>
    <mergeCell ref="G14:H14"/>
    <mergeCell ref="G16:H16"/>
    <mergeCell ref="G18:H18"/>
    <mergeCell ref="I18:K18"/>
    <mergeCell ref="L18:N18"/>
    <mergeCell ref="G15:H15"/>
    <mergeCell ref="I11:K11"/>
    <mergeCell ref="L11:N11"/>
    <mergeCell ref="O11:Q11"/>
    <mergeCell ref="E26:F28"/>
    <mergeCell ref="O19:Q19"/>
    <mergeCell ref="R19:T19"/>
    <mergeCell ref="I19:K19"/>
    <mergeCell ref="L19:N19"/>
    <mergeCell ref="I17:K17"/>
    <mergeCell ref="L17:N17"/>
    <mergeCell ref="O18:Q18"/>
    <mergeCell ref="R18:T18"/>
    <mergeCell ref="O17:Q17"/>
    <mergeCell ref="R17:T17"/>
    <mergeCell ref="E19:H19"/>
    <mergeCell ref="A37:D37"/>
    <mergeCell ref="E37:G37"/>
    <mergeCell ref="N37:O37"/>
    <mergeCell ref="Q37:R37"/>
    <mergeCell ref="A39:H39"/>
    <mergeCell ref="I39:K39"/>
    <mergeCell ref="L39:N39"/>
    <mergeCell ref="O39:Q39"/>
    <mergeCell ref="R39:T39"/>
    <mergeCell ref="A1:P2"/>
    <mergeCell ref="Q1:T1"/>
    <mergeCell ref="AC1:AF1"/>
    <mergeCell ref="AO1:AR1"/>
    <mergeCell ref="BA1:BD1"/>
    <mergeCell ref="BM1:BP1"/>
    <mergeCell ref="BY1:CB1"/>
    <mergeCell ref="Q2:T2"/>
    <mergeCell ref="AC2:AF2"/>
    <mergeCell ref="AO2:AR2"/>
    <mergeCell ref="BA2:BD2"/>
    <mergeCell ref="BM2:BP2"/>
    <mergeCell ref="BY2:CB2"/>
    <mergeCell ref="A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BZ3:CB3"/>
    <mergeCell ref="A4:C5"/>
    <mergeCell ref="D4:D5"/>
    <mergeCell ref="E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AX4:AX5"/>
    <mergeCell ref="AY4:AY5"/>
    <mergeCell ref="AZ4:AZ5"/>
    <mergeCell ref="BA4:BA5"/>
    <mergeCell ref="BB4:BB5"/>
    <mergeCell ref="BC4:BC5"/>
    <mergeCell ref="BD4:BD5"/>
    <mergeCell ref="BE4:BE5"/>
    <mergeCell ref="BF4:BF5"/>
    <mergeCell ref="BG4:BG5"/>
    <mergeCell ref="BH4:BH5"/>
    <mergeCell ref="BI4:BI5"/>
    <mergeCell ref="BJ4:BJ5"/>
    <mergeCell ref="BK4:BK5"/>
    <mergeCell ref="BL4:BL5"/>
    <mergeCell ref="BM4:BM5"/>
    <mergeCell ref="BN4:BN5"/>
    <mergeCell ref="BO4:BO5"/>
    <mergeCell ref="BP4:BP5"/>
    <mergeCell ref="BQ4:BQ5"/>
    <mergeCell ref="BR4:BR5"/>
    <mergeCell ref="BS4:BS5"/>
    <mergeCell ref="BT4:BT5"/>
    <mergeCell ref="BU4:BU5"/>
    <mergeCell ref="BV4:BV5"/>
    <mergeCell ref="BW4:BW5"/>
    <mergeCell ref="BX4:BX5"/>
    <mergeCell ref="BY4:BY5"/>
    <mergeCell ref="BZ4:BZ5"/>
    <mergeCell ref="CA4:CA5"/>
    <mergeCell ref="CB4:CB5"/>
    <mergeCell ref="A6:C12"/>
    <mergeCell ref="D6:D12"/>
    <mergeCell ref="E6:F8"/>
    <mergeCell ref="G6:H6"/>
    <mergeCell ref="G7:H7"/>
    <mergeCell ref="G8:H8"/>
    <mergeCell ref="E9:F11"/>
    <mergeCell ref="G9:H9"/>
    <mergeCell ref="I9:K9"/>
    <mergeCell ref="L9:N9"/>
    <mergeCell ref="O9:Q9"/>
    <mergeCell ref="R9:T9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AV9:AX9"/>
    <mergeCell ref="AY9:BA9"/>
    <mergeCell ref="BB9:BD9"/>
    <mergeCell ref="BE9:BG9"/>
    <mergeCell ref="BH9:BJ9"/>
    <mergeCell ref="BK9:BM9"/>
    <mergeCell ref="BN9:BP9"/>
    <mergeCell ref="BQ9:BS9"/>
    <mergeCell ref="BT9:BV9"/>
    <mergeCell ref="BW9:BY9"/>
    <mergeCell ref="BZ9:CB9"/>
    <mergeCell ref="G10:H10"/>
    <mergeCell ref="I10:K10"/>
    <mergeCell ref="L10:N10"/>
    <mergeCell ref="O10:Q10"/>
    <mergeCell ref="R10:T10"/>
    <mergeCell ref="U10:W10"/>
    <mergeCell ref="X10:Z10"/>
    <mergeCell ref="AA10:AC10"/>
    <mergeCell ref="AD10:AF10"/>
    <mergeCell ref="AG10:AI10"/>
    <mergeCell ref="AJ10:AL10"/>
    <mergeCell ref="AM10:AO10"/>
    <mergeCell ref="AP10:AR10"/>
    <mergeCell ref="AS10:AU10"/>
    <mergeCell ref="AV10:AX10"/>
    <mergeCell ref="AY10:BA10"/>
    <mergeCell ref="BB10:BD10"/>
    <mergeCell ref="BE10:BG10"/>
    <mergeCell ref="BH10:BJ10"/>
    <mergeCell ref="BK10:BM10"/>
    <mergeCell ref="BN10:BP10"/>
    <mergeCell ref="BQ10:BS10"/>
    <mergeCell ref="BT10:BV10"/>
    <mergeCell ref="BW10:BY10"/>
    <mergeCell ref="BZ10:CB10"/>
    <mergeCell ref="G11:H11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AV11:AX11"/>
    <mergeCell ref="AY11:BA11"/>
    <mergeCell ref="BB11:BD11"/>
    <mergeCell ref="BE11:BG11"/>
    <mergeCell ref="BH11:BJ11"/>
    <mergeCell ref="BK11:BM11"/>
    <mergeCell ref="BN11:BP11"/>
    <mergeCell ref="BQ11:BS11"/>
    <mergeCell ref="BT11:BV11"/>
    <mergeCell ref="BW11:BY11"/>
    <mergeCell ref="BZ11:CB11"/>
    <mergeCell ref="E12:H12"/>
    <mergeCell ref="I12:K12"/>
    <mergeCell ref="L12:N12"/>
    <mergeCell ref="O12:Q12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AP12:AR12"/>
    <mergeCell ref="AS12:AU12"/>
    <mergeCell ref="AV12:AX12"/>
    <mergeCell ref="AY12:BA12"/>
    <mergeCell ref="BB12:BD12"/>
    <mergeCell ref="BE12:BG12"/>
    <mergeCell ref="BH12:BJ12"/>
    <mergeCell ref="BK12:BM12"/>
    <mergeCell ref="BN12:BP12"/>
    <mergeCell ref="BQ12:BS12"/>
    <mergeCell ref="BT12:BV12"/>
    <mergeCell ref="BW12:BY12"/>
    <mergeCell ref="BZ12:CB12"/>
    <mergeCell ref="A13:C19"/>
    <mergeCell ref="D13:D19"/>
    <mergeCell ref="E13:F15"/>
    <mergeCell ref="G13:H13"/>
    <mergeCell ref="E16:F18"/>
    <mergeCell ref="I16:K16"/>
    <mergeCell ref="L16:N16"/>
    <mergeCell ref="O16:Q16"/>
    <mergeCell ref="R16:T16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AV16:AX16"/>
    <mergeCell ref="AY16:BA16"/>
    <mergeCell ref="BB16:BD16"/>
    <mergeCell ref="BE16:BG16"/>
    <mergeCell ref="BH16:BJ16"/>
    <mergeCell ref="BK16:BM16"/>
    <mergeCell ref="BN16:BP16"/>
    <mergeCell ref="BQ16:BS16"/>
    <mergeCell ref="BT16:BV16"/>
    <mergeCell ref="BW16:BY16"/>
    <mergeCell ref="BZ16:CB16"/>
    <mergeCell ref="G17:H17"/>
    <mergeCell ref="U17:W17"/>
    <mergeCell ref="X17:Z17"/>
    <mergeCell ref="AA17:AC17"/>
    <mergeCell ref="AD17:AF17"/>
    <mergeCell ref="AG17:AI17"/>
    <mergeCell ref="AJ17:AL17"/>
    <mergeCell ref="AM17:AO17"/>
    <mergeCell ref="AP17:AR17"/>
    <mergeCell ref="AS17:AU17"/>
    <mergeCell ref="AV17:AX17"/>
    <mergeCell ref="AY17:BA17"/>
    <mergeCell ref="BB17:BD17"/>
    <mergeCell ref="BE17:BG17"/>
    <mergeCell ref="BH17:BJ17"/>
    <mergeCell ref="BK17:BM17"/>
    <mergeCell ref="BN17:BP17"/>
    <mergeCell ref="BQ17:BS17"/>
    <mergeCell ref="BT17:BV17"/>
    <mergeCell ref="BW17:BY17"/>
    <mergeCell ref="BZ17:CB17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AY18:BA18"/>
    <mergeCell ref="BB18:BD18"/>
    <mergeCell ref="BE18:BG18"/>
    <mergeCell ref="BH18:BJ18"/>
    <mergeCell ref="BK18:BM18"/>
    <mergeCell ref="BN18:BP18"/>
    <mergeCell ref="BQ18:BS18"/>
    <mergeCell ref="BT18:BV18"/>
    <mergeCell ref="BW18:BY18"/>
    <mergeCell ref="BZ18:CB18"/>
    <mergeCell ref="U19:W19"/>
    <mergeCell ref="X19:Z19"/>
    <mergeCell ref="AA19:AC19"/>
    <mergeCell ref="AD19:AF19"/>
    <mergeCell ref="AG19:AI19"/>
    <mergeCell ref="AJ19:AL19"/>
    <mergeCell ref="AM19:AO19"/>
    <mergeCell ref="AP19:AR19"/>
    <mergeCell ref="AS19:AU19"/>
    <mergeCell ref="AV19:AX19"/>
    <mergeCell ref="AY19:BA19"/>
    <mergeCell ref="BB19:BD19"/>
    <mergeCell ref="BE19:BG19"/>
    <mergeCell ref="BH19:BJ19"/>
    <mergeCell ref="BK19:BM19"/>
    <mergeCell ref="BN19:BP19"/>
    <mergeCell ref="BQ19:BS19"/>
    <mergeCell ref="BT19:BV19"/>
    <mergeCell ref="BW19:BY19"/>
    <mergeCell ref="BZ19:CB19"/>
    <mergeCell ref="A20:C25"/>
    <mergeCell ref="D20:D25"/>
    <mergeCell ref="E20:F22"/>
    <mergeCell ref="G20:H22"/>
    <mergeCell ref="I20:I22"/>
    <mergeCell ref="J20:J22"/>
    <mergeCell ref="K20:K22"/>
    <mergeCell ref="L20:L22"/>
    <mergeCell ref="M20:M22"/>
    <mergeCell ref="N20:N22"/>
    <mergeCell ref="O20:O22"/>
    <mergeCell ref="P20:P22"/>
    <mergeCell ref="Q20:Q22"/>
    <mergeCell ref="R20:R22"/>
    <mergeCell ref="S20:S22"/>
    <mergeCell ref="T20:T22"/>
    <mergeCell ref="U20:U22"/>
    <mergeCell ref="V20:V22"/>
    <mergeCell ref="W20:W22"/>
    <mergeCell ref="X20:X22"/>
    <mergeCell ref="Y20:Y22"/>
    <mergeCell ref="Z20:Z22"/>
    <mergeCell ref="AA20:AA22"/>
    <mergeCell ref="AB20:AB22"/>
    <mergeCell ref="AC20:AC22"/>
    <mergeCell ref="AD20:AD22"/>
    <mergeCell ref="AE20:AE22"/>
    <mergeCell ref="AF20:AF22"/>
    <mergeCell ref="AG20:AG22"/>
    <mergeCell ref="AH20:AH22"/>
    <mergeCell ref="AI20:AI22"/>
    <mergeCell ref="AJ20:AJ22"/>
    <mergeCell ref="AK20:AK22"/>
    <mergeCell ref="AL20:AL22"/>
    <mergeCell ref="AM20:AM22"/>
    <mergeCell ref="AN20:AN22"/>
    <mergeCell ref="AO20:AO22"/>
    <mergeCell ref="AP20:AP22"/>
    <mergeCell ref="AQ20:AQ22"/>
    <mergeCell ref="AR20:AR22"/>
    <mergeCell ref="AS20:AS22"/>
    <mergeCell ref="AT20:AT22"/>
    <mergeCell ref="AU20:AU22"/>
    <mergeCell ref="AV20:AV22"/>
    <mergeCell ref="AW20:AW22"/>
    <mergeCell ref="AX20:AX22"/>
    <mergeCell ref="AY20:AY22"/>
    <mergeCell ref="AZ20:AZ22"/>
    <mergeCell ref="BA20:BA22"/>
    <mergeCell ref="BB20:BB22"/>
    <mergeCell ref="BC20:BC22"/>
    <mergeCell ref="BD20:BD22"/>
    <mergeCell ref="BE20:BE22"/>
    <mergeCell ref="BF20:BF22"/>
    <mergeCell ref="BG20:BG22"/>
    <mergeCell ref="BH20:BH22"/>
    <mergeCell ref="BI20:BI22"/>
    <mergeCell ref="BJ20:BJ22"/>
    <mergeCell ref="BK20:BK22"/>
    <mergeCell ref="BL20:BL22"/>
    <mergeCell ref="BM20:BM22"/>
    <mergeCell ref="BN20:BN22"/>
    <mergeCell ref="BO20:BO22"/>
    <mergeCell ref="BP20:BP22"/>
    <mergeCell ref="BQ20:BQ22"/>
    <mergeCell ref="BR20:BR22"/>
    <mergeCell ref="BS20:BS22"/>
    <mergeCell ref="BT20:BT22"/>
    <mergeCell ref="BU20:BU22"/>
    <mergeCell ref="BV20:BV22"/>
    <mergeCell ref="BW20:BW22"/>
    <mergeCell ref="BX20:BX22"/>
    <mergeCell ref="BY20:BY22"/>
    <mergeCell ref="BZ20:BZ22"/>
    <mergeCell ref="CA20:CA22"/>
    <mergeCell ref="CB20:CB22"/>
    <mergeCell ref="E23:F25"/>
    <mergeCell ref="G23:H25"/>
    <mergeCell ref="I23:K25"/>
    <mergeCell ref="L23:N25"/>
    <mergeCell ref="O23:Q25"/>
    <mergeCell ref="R23:T25"/>
    <mergeCell ref="U23:W25"/>
    <mergeCell ref="X23:Z25"/>
    <mergeCell ref="AA23:AC25"/>
    <mergeCell ref="AD23:AF25"/>
    <mergeCell ref="AG23:AI25"/>
    <mergeCell ref="AJ23:AL25"/>
    <mergeCell ref="AM23:AO25"/>
    <mergeCell ref="AP23:AR25"/>
    <mergeCell ref="AS23:AU25"/>
    <mergeCell ref="AV23:AX25"/>
    <mergeCell ref="AY23:BA25"/>
    <mergeCell ref="BB23:BD25"/>
    <mergeCell ref="BE23:BG25"/>
    <mergeCell ref="BH23:BJ25"/>
    <mergeCell ref="BK23:BM25"/>
    <mergeCell ref="BN23:BP25"/>
    <mergeCell ref="BQ23:BS25"/>
    <mergeCell ref="BT23:BV25"/>
    <mergeCell ref="BW23:BY25"/>
    <mergeCell ref="BZ23:CB25"/>
    <mergeCell ref="A26:C31"/>
    <mergeCell ref="D26:D31"/>
    <mergeCell ref="G26:H28"/>
    <mergeCell ref="I26:I28"/>
    <mergeCell ref="J26:J28"/>
    <mergeCell ref="K26:K28"/>
    <mergeCell ref="L26:L28"/>
    <mergeCell ref="M26:M28"/>
    <mergeCell ref="N26:N28"/>
    <mergeCell ref="O26:O28"/>
    <mergeCell ref="P26:P28"/>
    <mergeCell ref="Q26:Q28"/>
    <mergeCell ref="R26:R28"/>
    <mergeCell ref="S26:S28"/>
    <mergeCell ref="T26:T28"/>
    <mergeCell ref="U26:U28"/>
    <mergeCell ref="V26:V28"/>
    <mergeCell ref="W26:W28"/>
    <mergeCell ref="X26:X28"/>
    <mergeCell ref="Y26:Y28"/>
    <mergeCell ref="Z26:Z28"/>
    <mergeCell ref="AA26:AA28"/>
    <mergeCell ref="AB26:AB28"/>
    <mergeCell ref="AC26:AC28"/>
    <mergeCell ref="AD26:AD28"/>
    <mergeCell ref="AE26:AE28"/>
    <mergeCell ref="AF26:AF28"/>
    <mergeCell ref="AG26:AG28"/>
    <mergeCell ref="AH26:AH28"/>
    <mergeCell ref="AI26:AI28"/>
    <mergeCell ref="AJ26:AJ28"/>
    <mergeCell ref="AK26:AK28"/>
    <mergeCell ref="AL26:AL28"/>
    <mergeCell ref="AM26:AM28"/>
    <mergeCell ref="AN26:AN28"/>
    <mergeCell ref="AO26:AO28"/>
    <mergeCell ref="AP26:AP28"/>
    <mergeCell ref="AQ26:AQ28"/>
    <mergeCell ref="AR26:AR28"/>
    <mergeCell ref="AS26:AS28"/>
    <mergeCell ref="AT26:AT28"/>
    <mergeCell ref="AU26:AU28"/>
    <mergeCell ref="AV26:AV28"/>
    <mergeCell ref="AW26:AW28"/>
    <mergeCell ref="AX26:AX28"/>
    <mergeCell ref="AY26:AY28"/>
    <mergeCell ref="AZ26:AZ28"/>
    <mergeCell ref="BA26:BA28"/>
    <mergeCell ref="BB26:BB28"/>
    <mergeCell ref="BC26:BC28"/>
    <mergeCell ref="BD26:BD28"/>
    <mergeCell ref="BE26:BE28"/>
    <mergeCell ref="BF26:BF28"/>
    <mergeCell ref="BG26:BG28"/>
    <mergeCell ref="BH26:BH28"/>
    <mergeCell ref="BI26:BI28"/>
    <mergeCell ref="BJ26:BJ28"/>
    <mergeCell ref="BK26:BK28"/>
    <mergeCell ref="BL26:BL28"/>
    <mergeCell ref="BM26:BM28"/>
    <mergeCell ref="BN26:BN28"/>
    <mergeCell ref="BO26:BO28"/>
    <mergeCell ref="BP26:BP28"/>
    <mergeCell ref="BQ26:BQ28"/>
    <mergeCell ref="BR26:BR28"/>
    <mergeCell ref="BS26:BS28"/>
    <mergeCell ref="BT26:BT28"/>
    <mergeCell ref="BU26:BU28"/>
    <mergeCell ref="BV26:BV28"/>
    <mergeCell ref="BW26:BW28"/>
    <mergeCell ref="BZ29:CB31"/>
    <mergeCell ref="A32:D34"/>
    <mergeCell ref="E32:H32"/>
    <mergeCell ref="E33:H33"/>
    <mergeCell ref="E34:H34"/>
    <mergeCell ref="BX26:BX28"/>
    <mergeCell ref="BY26:BY28"/>
    <mergeCell ref="BZ26:BZ28"/>
    <mergeCell ref="CA26:CA28"/>
    <mergeCell ref="CB26:CB28"/>
    <mergeCell ref="E29:F31"/>
    <mergeCell ref="G29:H31"/>
    <mergeCell ref="I29:K31"/>
    <mergeCell ref="L29:N31"/>
    <mergeCell ref="O29:Q31"/>
    <mergeCell ref="R29:T31"/>
    <mergeCell ref="U29:W31"/>
    <mergeCell ref="X29:Z31"/>
    <mergeCell ref="AA29:AC31"/>
    <mergeCell ref="AD29:AF31"/>
    <mergeCell ref="AG29:AI31"/>
    <mergeCell ref="AJ29:AL31"/>
    <mergeCell ref="AM29:AO31"/>
    <mergeCell ref="AP29:AR31"/>
    <mergeCell ref="AO35:AP35"/>
    <mergeCell ref="AX35:AY35"/>
    <mergeCell ref="BA35:BB35"/>
    <mergeCell ref="BH29:BJ31"/>
    <mergeCell ref="BK29:BM31"/>
    <mergeCell ref="BN29:BP31"/>
    <mergeCell ref="BQ29:BS31"/>
    <mergeCell ref="BT29:BV31"/>
    <mergeCell ref="BW29:BY31"/>
    <mergeCell ref="AS29:AU31"/>
    <mergeCell ref="AV29:AX31"/>
    <mergeCell ref="AY29:BA31"/>
    <mergeCell ref="BB29:BD31"/>
    <mergeCell ref="BE29:BG31"/>
    <mergeCell ref="BJ35:BK35"/>
    <mergeCell ref="BM35:BN35"/>
    <mergeCell ref="BV35:BW35"/>
    <mergeCell ref="BY35:BZ35"/>
    <mergeCell ref="A36:D36"/>
    <mergeCell ref="E36:G36"/>
    <mergeCell ref="N36:O36"/>
    <mergeCell ref="Q36:R36"/>
    <mergeCell ref="Z36:AA36"/>
    <mergeCell ref="AC36:AD36"/>
    <mergeCell ref="AL36:AM36"/>
    <mergeCell ref="AO36:AP36"/>
    <mergeCell ref="AX36:AY36"/>
    <mergeCell ref="BA36:BB36"/>
    <mergeCell ref="BJ36:BK36"/>
    <mergeCell ref="BM36:BN36"/>
    <mergeCell ref="BV36:BW36"/>
    <mergeCell ref="BY36:BZ36"/>
    <mergeCell ref="F35:G35"/>
    <mergeCell ref="N35:O35"/>
    <mergeCell ref="Q35:R35"/>
    <mergeCell ref="Z35:AA35"/>
    <mergeCell ref="AC35:AD35"/>
    <mergeCell ref="AL35:AM35"/>
    <mergeCell ref="BY37:BZ37"/>
    <mergeCell ref="F38:G38"/>
    <mergeCell ref="N38:O38"/>
    <mergeCell ref="Q38:R38"/>
    <mergeCell ref="Z38:AA38"/>
    <mergeCell ref="AC38:AD38"/>
    <mergeCell ref="AL38:AM38"/>
    <mergeCell ref="AO38:AP38"/>
    <mergeCell ref="AX38:AY38"/>
    <mergeCell ref="BA38:BB38"/>
    <mergeCell ref="BJ38:BK38"/>
    <mergeCell ref="BM38:BN38"/>
    <mergeCell ref="BV38:BW38"/>
    <mergeCell ref="BY38:BZ38"/>
    <mergeCell ref="Z37:AA37"/>
    <mergeCell ref="AC37:AD37"/>
    <mergeCell ref="AL37:AM37"/>
    <mergeCell ref="AO37:AP37"/>
    <mergeCell ref="AX37:AY37"/>
    <mergeCell ref="BA37:BB37"/>
    <mergeCell ref="BJ37:BK37"/>
    <mergeCell ref="BM37:BN37"/>
    <mergeCell ref="BV37:BW37"/>
    <mergeCell ref="U39:W39"/>
    <mergeCell ref="X39:Z39"/>
    <mergeCell ref="AA39:AC39"/>
    <mergeCell ref="AD39:AF39"/>
    <mergeCell ref="AG39:AI39"/>
    <mergeCell ref="AJ39:AL39"/>
    <mergeCell ref="AM39:AO39"/>
    <mergeCell ref="AP39:AR39"/>
    <mergeCell ref="AS39:AU39"/>
    <mergeCell ref="AV39:AX39"/>
    <mergeCell ref="AY39:BA39"/>
    <mergeCell ref="BB39:BD39"/>
    <mergeCell ref="BE39:BG39"/>
    <mergeCell ref="BH39:BJ39"/>
    <mergeCell ref="BK39:BM39"/>
    <mergeCell ref="BN39:BP39"/>
    <mergeCell ref="BQ39:BS39"/>
    <mergeCell ref="BT39:BV39"/>
    <mergeCell ref="BW39:BY39"/>
    <mergeCell ref="BZ39:CB39"/>
    <mergeCell ref="A40:D41"/>
    <mergeCell ref="E40:F40"/>
    <mergeCell ref="G40:H40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AD40:AD41"/>
    <mergeCell ref="AE40:AE41"/>
    <mergeCell ref="AF40:AF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O40:AO41"/>
    <mergeCell ref="AP40:AP41"/>
    <mergeCell ref="AQ40:AQ41"/>
    <mergeCell ref="AR40:AR41"/>
    <mergeCell ref="AS40:AS41"/>
    <mergeCell ref="BG40:BG41"/>
    <mergeCell ref="BH40:BH41"/>
    <mergeCell ref="BI40:BI41"/>
    <mergeCell ref="BJ40:BJ41"/>
    <mergeCell ref="BK40:BK41"/>
    <mergeCell ref="AT40:AT41"/>
    <mergeCell ref="AU40:AU41"/>
    <mergeCell ref="AV40:AV41"/>
    <mergeCell ref="AW40:AW41"/>
    <mergeCell ref="AX40:AX41"/>
    <mergeCell ref="AY40:AY41"/>
    <mergeCell ref="AZ40:AZ41"/>
    <mergeCell ref="BA40:BA41"/>
    <mergeCell ref="BB40:BB41"/>
    <mergeCell ref="BU40:BU41"/>
    <mergeCell ref="BV40:BV41"/>
    <mergeCell ref="BW40:BW41"/>
    <mergeCell ref="BX40:BX41"/>
    <mergeCell ref="BY40:BY41"/>
    <mergeCell ref="BZ40:BZ41"/>
    <mergeCell ref="CA40:CA41"/>
    <mergeCell ref="CB40:CB41"/>
    <mergeCell ref="A42:A65"/>
    <mergeCell ref="B42:B53"/>
    <mergeCell ref="B54:B65"/>
    <mergeCell ref="BL40:BL41"/>
    <mergeCell ref="BM40:BM41"/>
    <mergeCell ref="BN40:BN41"/>
    <mergeCell ref="BO40:BO41"/>
    <mergeCell ref="BP40:BP41"/>
    <mergeCell ref="BQ40:BQ41"/>
    <mergeCell ref="BR40:BR41"/>
    <mergeCell ref="BS40:BS41"/>
    <mergeCell ref="BT40:BT41"/>
    <mergeCell ref="BC40:BC41"/>
    <mergeCell ref="BD40:BD41"/>
    <mergeCell ref="BE40:BE41"/>
    <mergeCell ref="BF40:BF41"/>
    <mergeCell ref="BQ116:CF116"/>
    <mergeCell ref="E117:T117"/>
    <mergeCell ref="U117:AJ117"/>
    <mergeCell ref="AK117:AZ117"/>
    <mergeCell ref="BA117:BP117"/>
    <mergeCell ref="BQ117:CF117"/>
    <mergeCell ref="E118:T118"/>
    <mergeCell ref="U118:AJ118"/>
    <mergeCell ref="AK118:AZ118"/>
    <mergeCell ref="BA118:BP118"/>
    <mergeCell ref="BQ118:CF118"/>
    <mergeCell ref="A123:T124"/>
    <mergeCell ref="A106:A115"/>
    <mergeCell ref="B106:B110"/>
    <mergeCell ref="B111:B115"/>
    <mergeCell ref="A116:D118"/>
    <mergeCell ref="E116:T116"/>
    <mergeCell ref="U116:AJ116"/>
    <mergeCell ref="AK116:AZ116"/>
    <mergeCell ref="BA116:BP116"/>
  </mergeCells>
  <pageMargins left="0.59055118110236227" right="0.19685039370078741" top="0.59055118110236227" bottom="0.19685039370078741" header="0.51181102362204722" footer="0.51181102362204722"/>
  <pageSetup paperSize="9" scale="5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62"/>
  <sheetViews>
    <sheetView view="pageBreakPreview" zoomScale="85" zoomScaleNormal="100" zoomScaleSheetLayoutView="85" workbookViewId="0">
      <selection activeCell="V74" sqref="V74"/>
    </sheetView>
  </sheetViews>
  <sheetFormatPr defaultRowHeight="12.75" x14ac:dyDescent="0.2"/>
  <cols>
    <col min="1" max="1" width="4.42578125" style="650" customWidth="1"/>
    <col min="2" max="2" width="8.140625" style="650" customWidth="1"/>
    <col min="3" max="3" width="8" style="650" customWidth="1"/>
    <col min="4" max="4" width="7.28515625" style="650" customWidth="1"/>
    <col min="5" max="5" width="4.85546875" style="650" customWidth="1"/>
    <col min="6" max="6" width="5.140625" style="650" customWidth="1"/>
    <col min="7" max="7" width="6.28515625" style="650" customWidth="1"/>
    <col min="8" max="18" width="8.28515625" style="650" customWidth="1"/>
    <col min="19" max="34" width="8.140625" style="650" customWidth="1"/>
    <col min="35" max="35" width="8" style="650" customWidth="1"/>
    <col min="36" max="90" width="8.140625" style="650" customWidth="1"/>
    <col min="91" max="16384" width="9.140625" style="650"/>
  </cols>
  <sheetData>
    <row r="1" spans="1:79" ht="18" x14ac:dyDescent="0.25">
      <c r="C1" s="651" t="s">
        <v>2201</v>
      </c>
      <c r="D1" s="652"/>
      <c r="H1" s="652"/>
      <c r="BY1" s="653" t="s">
        <v>2202</v>
      </c>
    </row>
    <row r="2" spans="1:79" ht="14.25" x14ac:dyDescent="0.2">
      <c r="C2" s="654"/>
      <c r="D2" s="655"/>
      <c r="E2" s="655"/>
      <c r="F2" s="655"/>
    </row>
    <row r="3" spans="1:79" ht="18.75" thickBot="1" x14ac:dyDescent="0.3">
      <c r="B3" s="656"/>
      <c r="C3" s="657" t="s">
        <v>2203</v>
      </c>
      <c r="D3" s="657"/>
      <c r="E3" s="657"/>
      <c r="F3" s="658"/>
      <c r="G3" s="657"/>
      <c r="H3" s="657"/>
      <c r="K3" s="1343" t="s">
        <v>2204</v>
      </c>
      <c r="L3" s="1343"/>
      <c r="M3" s="1343"/>
      <c r="N3" s="659"/>
      <c r="O3" s="659"/>
      <c r="P3" s="656"/>
      <c r="BY3" s="660" t="s">
        <v>2121</v>
      </c>
      <c r="BZ3" s="1344">
        <f>'[1]1КНС-3'!BZ3:CA3</f>
        <v>41990</v>
      </c>
      <c r="CA3" s="1344"/>
    </row>
    <row r="4" spans="1:79" ht="37.5" customHeight="1" thickBot="1" x14ac:dyDescent="0.25">
      <c r="B4" s="656"/>
      <c r="C4" s="656"/>
      <c r="D4" s="656"/>
      <c r="E4" s="656"/>
      <c r="F4" s="656"/>
      <c r="G4" s="656"/>
      <c r="H4" s="656"/>
      <c r="I4" s="656"/>
      <c r="J4" s="656"/>
      <c r="K4" s="661"/>
      <c r="L4" s="656"/>
      <c r="M4" s="656"/>
    </row>
    <row r="5" spans="1:79" s="676" customFormat="1" ht="71.25" customHeight="1" thickBot="1" x14ac:dyDescent="0.25">
      <c r="A5" s="662" t="s">
        <v>2</v>
      </c>
      <c r="B5" s="663"/>
      <c r="C5" s="663"/>
      <c r="D5" s="664"/>
      <c r="E5" s="664"/>
      <c r="F5" s="665"/>
      <c r="G5" s="666"/>
      <c r="H5" s="667"/>
      <c r="I5" s="668">
        <v>1</v>
      </c>
      <c r="J5" s="669" t="s">
        <v>2205</v>
      </c>
      <c r="K5" s="670"/>
      <c r="L5" s="671">
        <v>2</v>
      </c>
      <c r="M5" s="672" t="s">
        <v>2205</v>
      </c>
      <c r="N5" s="667"/>
      <c r="O5" s="668">
        <v>3</v>
      </c>
      <c r="P5" s="669" t="s">
        <v>2205</v>
      </c>
      <c r="Q5" s="667"/>
      <c r="R5" s="668">
        <v>4</v>
      </c>
      <c r="S5" s="669" t="s">
        <v>2205</v>
      </c>
      <c r="T5" s="667"/>
      <c r="U5" s="668">
        <v>5</v>
      </c>
      <c r="V5" s="669" t="s">
        <v>2205</v>
      </c>
      <c r="W5" s="667"/>
      <c r="X5" s="668">
        <v>6</v>
      </c>
      <c r="Y5" s="669" t="s">
        <v>2205</v>
      </c>
      <c r="Z5" s="667"/>
      <c r="AA5" s="668">
        <v>7</v>
      </c>
      <c r="AB5" s="669" t="s">
        <v>2205</v>
      </c>
      <c r="AC5" s="667"/>
      <c r="AD5" s="668">
        <v>8</v>
      </c>
      <c r="AE5" s="669" t="s">
        <v>2205</v>
      </c>
      <c r="AF5" s="667"/>
      <c r="AG5" s="668">
        <v>9</v>
      </c>
      <c r="AH5" s="669" t="s">
        <v>2205</v>
      </c>
      <c r="AI5" s="667"/>
      <c r="AJ5" s="668">
        <v>10</v>
      </c>
      <c r="AK5" s="669" t="s">
        <v>2205</v>
      </c>
      <c r="AL5" s="667"/>
      <c r="AM5" s="668">
        <v>11</v>
      </c>
      <c r="AN5" s="669" t="s">
        <v>2205</v>
      </c>
      <c r="AO5" s="667"/>
      <c r="AP5" s="668">
        <v>12</v>
      </c>
      <c r="AQ5" s="669" t="s">
        <v>2205</v>
      </c>
      <c r="AR5" s="667"/>
      <c r="AS5" s="668">
        <v>13</v>
      </c>
      <c r="AT5" s="669" t="s">
        <v>2205</v>
      </c>
      <c r="AU5" s="667"/>
      <c r="AV5" s="668">
        <v>14</v>
      </c>
      <c r="AW5" s="669" t="s">
        <v>2205</v>
      </c>
      <c r="AX5" s="667"/>
      <c r="AY5" s="668">
        <v>15</v>
      </c>
      <c r="AZ5" s="669" t="s">
        <v>2205</v>
      </c>
      <c r="BA5" s="667"/>
      <c r="BB5" s="668">
        <v>16</v>
      </c>
      <c r="BC5" s="669" t="s">
        <v>2205</v>
      </c>
      <c r="BD5" s="667"/>
      <c r="BE5" s="668">
        <v>17</v>
      </c>
      <c r="BF5" s="669" t="s">
        <v>2205</v>
      </c>
      <c r="BG5" s="667"/>
      <c r="BH5" s="668">
        <v>18</v>
      </c>
      <c r="BI5" s="669" t="s">
        <v>2205</v>
      </c>
      <c r="BJ5" s="667"/>
      <c r="BK5" s="668">
        <v>19</v>
      </c>
      <c r="BL5" s="669" t="s">
        <v>2205</v>
      </c>
      <c r="BM5" s="667"/>
      <c r="BN5" s="668">
        <v>20</v>
      </c>
      <c r="BO5" s="669" t="s">
        <v>2205</v>
      </c>
      <c r="BP5" s="667"/>
      <c r="BQ5" s="668">
        <v>21</v>
      </c>
      <c r="BR5" s="669" t="s">
        <v>2205</v>
      </c>
      <c r="BS5" s="667"/>
      <c r="BT5" s="668">
        <v>22</v>
      </c>
      <c r="BU5" s="669" t="s">
        <v>2205</v>
      </c>
      <c r="BV5" s="673"/>
      <c r="BW5" s="671">
        <v>23</v>
      </c>
      <c r="BX5" s="672" t="s">
        <v>2205</v>
      </c>
      <c r="BY5" s="674"/>
      <c r="BZ5" s="671">
        <v>24</v>
      </c>
      <c r="CA5" s="675" t="s">
        <v>2205</v>
      </c>
    </row>
    <row r="6" spans="1:79" s="676" customFormat="1" x14ac:dyDescent="0.2">
      <c r="A6" s="662" t="s">
        <v>2206</v>
      </c>
      <c r="B6" s="677"/>
      <c r="C6" s="677" t="s">
        <v>2207</v>
      </c>
      <c r="D6" s="678"/>
      <c r="E6" s="678"/>
      <c r="F6" s="679"/>
      <c r="G6" s="679"/>
      <c r="H6" s="680" t="s">
        <v>2124</v>
      </c>
      <c r="I6" s="681" t="s">
        <v>2125</v>
      </c>
      <c r="J6" s="682" t="s">
        <v>2126</v>
      </c>
      <c r="K6" s="683" t="s">
        <v>2124</v>
      </c>
      <c r="L6" s="684" t="s">
        <v>2125</v>
      </c>
      <c r="M6" s="685" t="s">
        <v>2126</v>
      </c>
      <c r="N6" s="680" t="s">
        <v>2124</v>
      </c>
      <c r="O6" s="681" t="s">
        <v>2125</v>
      </c>
      <c r="P6" s="682" t="s">
        <v>2126</v>
      </c>
      <c r="Q6" s="680" t="s">
        <v>2124</v>
      </c>
      <c r="R6" s="681" t="s">
        <v>2125</v>
      </c>
      <c r="S6" s="682" t="s">
        <v>2126</v>
      </c>
      <c r="T6" s="680" t="s">
        <v>2124</v>
      </c>
      <c r="U6" s="681" t="s">
        <v>2125</v>
      </c>
      <c r="V6" s="682" t="s">
        <v>2126</v>
      </c>
      <c r="W6" s="680" t="s">
        <v>2124</v>
      </c>
      <c r="X6" s="681" t="s">
        <v>2125</v>
      </c>
      <c r="Y6" s="682" t="s">
        <v>2126</v>
      </c>
      <c r="Z6" s="680" t="s">
        <v>2124</v>
      </c>
      <c r="AA6" s="681" t="s">
        <v>2125</v>
      </c>
      <c r="AB6" s="682" t="s">
        <v>2126</v>
      </c>
      <c r="AC6" s="680" t="s">
        <v>2124</v>
      </c>
      <c r="AD6" s="681" t="s">
        <v>2125</v>
      </c>
      <c r="AE6" s="682" t="s">
        <v>2126</v>
      </c>
      <c r="AF6" s="680" t="s">
        <v>2124</v>
      </c>
      <c r="AG6" s="681" t="s">
        <v>2125</v>
      </c>
      <c r="AH6" s="682" t="s">
        <v>2126</v>
      </c>
      <c r="AI6" s="680" t="s">
        <v>2124</v>
      </c>
      <c r="AJ6" s="681" t="s">
        <v>2125</v>
      </c>
      <c r="AK6" s="682" t="s">
        <v>2126</v>
      </c>
      <c r="AL6" s="680" t="s">
        <v>2124</v>
      </c>
      <c r="AM6" s="681" t="s">
        <v>2125</v>
      </c>
      <c r="AN6" s="682" t="s">
        <v>2126</v>
      </c>
      <c r="AO6" s="680" t="s">
        <v>2124</v>
      </c>
      <c r="AP6" s="681" t="s">
        <v>2125</v>
      </c>
      <c r="AQ6" s="682" t="s">
        <v>2126</v>
      </c>
      <c r="AR6" s="680" t="s">
        <v>2124</v>
      </c>
      <c r="AS6" s="681" t="s">
        <v>2125</v>
      </c>
      <c r="AT6" s="682" t="s">
        <v>2126</v>
      </c>
      <c r="AU6" s="680" t="s">
        <v>2124</v>
      </c>
      <c r="AV6" s="681" t="s">
        <v>2125</v>
      </c>
      <c r="AW6" s="682" t="s">
        <v>2126</v>
      </c>
      <c r="AX6" s="680" t="s">
        <v>2124</v>
      </c>
      <c r="AY6" s="681" t="s">
        <v>2125</v>
      </c>
      <c r="AZ6" s="682" t="s">
        <v>2126</v>
      </c>
      <c r="BA6" s="680" t="s">
        <v>2124</v>
      </c>
      <c r="BB6" s="681" t="s">
        <v>2125</v>
      </c>
      <c r="BC6" s="682" t="s">
        <v>2126</v>
      </c>
      <c r="BD6" s="680" t="s">
        <v>2124</v>
      </c>
      <c r="BE6" s="681" t="s">
        <v>2125</v>
      </c>
      <c r="BF6" s="682" t="s">
        <v>2126</v>
      </c>
      <c r="BG6" s="680" t="s">
        <v>2124</v>
      </c>
      <c r="BH6" s="681" t="s">
        <v>2125</v>
      </c>
      <c r="BI6" s="682" t="s">
        <v>2126</v>
      </c>
      <c r="BJ6" s="680" t="s">
        <v>2124</v>
      </c>
      <c r="BK6" s="681" t="s">
        <v>2125</v>
      </c>
      <c r="BL6" s="682" t="s">
        <v>2126</v>
      </c>
      <c r="BM6" s="680" t="s">
        <v>2124</v>
      </c>
      <c r="BN6" s="681" t="s">
        <v>2125</v>
      </c>
      <c r="BO6" s="682" t="s">
        <v>2126</v>
      </c>
      <c r="BP6" s="680" t="s">
        <v>2124</v>
      </c>
      <c r="BQ6" s="681" t="s">
        <v>2125</v>
      </c>
      <c r="BR6" s="682" t="s">
        <v>2126</v>
      </c>
      <c r="BS6" s="680" t="s">
        <v>2124</v>
      </c>
      <c r="BT6" s="681" t="s">
        <v>2125</v>
      </c>
      <c r="BU6" s="682" t="s">
        <v>2126</v>
      </c>
      <c r="BV6" s="680" t="s">
        <v>2124</v>
      </c>
      <c r="BW6" s="681" t="s">
        <v>2125</v>
      </c>
      <c r="BX6" s="682" t="s">
        <v>2126</v>
      </c>
      <c r="BY6" s="686" t="s">
        <v>2124</v>
      </c>
      <c r="BZ6" s="681" t="s">
        <v>2125</v>
      </c>
      <c r="CA6" s="682" t="s">
        <v>2126</v>
      </c>
    </row>
    <row r="7" spans="1:79" s="676" customFormat="1" ht="13.5" thickBot="1" x14ac:dyDescent="0.25">
      <c r="A7" s="687" t="s">
        <v>2208</v>
      </c>
      <c r="B7" s="688"/>
      <c r="C7" s="689" t="s">
        <v>2209</v>
      </c>
      <c r="D7" s="690"/>
      <c r="E7" s="690"/>
      <c r="F7" s="691"/>
      <c r="G7" s="691"/>
      <c r="H7" s="692" t="s">
        <v>2127</v>
      </c>
      <c r="I7" s="693" t="s">
        <v>2128</v>
      </c>
      <c r="J7" s="694" t="s">
        <v>2210</v>
      </c>
      <c r="K7" s="695" t="s">
        <v>2127</v>
      </c>
      <c r="L7" s="696" t="s">
        <v>2128</v>
      </c>
      <c r="M7" s="697" t="s">
        <v>2210</v>
      </c>
      <c r="N7" s="692" t="s">
        <v>2127</v>
      </c>
      <c r="O7" s="693" t="s">
        <v>2128</v>
      </c>
      <c r="P7" s="694" t="s">
        <v>2210</v>
      </c>
      <c r="Q7" s="692" t="s">
        <v>2127</v>
      </c>
      <c r="R7" s="693" t="s">
        <v>2128</v>
      </c>
      <c r="S7" s="694" t="s">
        <v>2210</v>
      </c>
      <c r="T7" s="692" t="s">
        <v>2127</v>
      </c>
      <c r="U7" s="693" t="s">
        <v>2128</v>
      </c>
      <c r="V7" s="694" t="s">
        <v>2210</v>
      </c>
      <c r="W7" s="692" t="s">
        <v>2127</v>
      </c>
      <c r="X7" s="693" t="s">
        <v>2128</v>
      </c>
      <c r="Y7" s="694" t="s">
        <v>2210</v>
      </c>
      <c r="Z7" s="692" t="s">
        <v>2127</v>
      </c>
      <c r="AA7" s="693" t="s">
        <v>2128</v>
      </c>
      <c r="AB7" s="694" t="s">
        <v>2210</v>
      </c>
      <c r="AC7" s="692" t="s">
        <v>2127</v>
      </c>
      <c r="AD7" s="693" t="s">
        <v>2128</v>
      </c>
      <c r="AE7" s="694" t="s">
        <v>2210</v>
      </c>
      <c r="AF7" s="692" t="s">
        <v>2127</v>
      </c>
      <c r="AG7" s="693" t="s">
        <v>2128</v>
      </c>
      <c r="AH7" s="694" t="s">
        <v>2210</v>
      </c>
      <c r="AI7" s="692" t="s">
        <v>2127</v>
      </c>
      <c r="AJ7" s="693" t="s">
        <v>2128</v>
      </c>
      <c r="AK7" s="694" t="s">
        <v>2210</v>
      </c>
      <c r="AL7" s="692" t="s">
        <v>2127</v>
      </c>
      <c r="AM7" s="693" t="s">
        <v>2128</v>
      </c>
      <c r="AN7" s="694" t="s">
        <v>2210</v>
      </c>
      <c r="AO7" s="692" t="s">
        <v>2127</v>
      </c>
      <c r="AP7" s="693" t="s">
        <v>2128</v>
      </c>
      <c r="AQ7" s="694" t="s">
        <v>2210</v>
      </c>
      <c r="AR7" s="692" t="s">
        <v>2127</v>
      </c>
      <c r="AS7" s="693" t="s">
        <v>2128</v>
      </c>
      <c r="AT7" s="694" t="s">
        <v>2210</v>
      </c>
      <c r="AU7" s="692" t="s">
        <v>2127</v>
      </c>
      <c r="AV7" s="693" t="s">
        <v>2128</v>
      </c>
      <c r="AW7" s="694" t="s">
        <v>2210</v>
      </c>
      <c r="AX7" s="692" t="s">
        <v>2127</v>
      </c>
      <c r="AY7" s="693" t="s">
        <v>2128</v>
      </c>
      <c r="AZ7" s="694" t="s">
        <v>2210</v>
      </c>
      <c r="BA7" s="692" t="s">
        <v>2127</v>
      </c>
      <c r="BB7" s="693" t="s">
        <v>2128</v>
      </c>
      <c r="BC7" s="694" t="s">
        <v>2210</v>
      </c>
      <c r="BD7" s="692" t="s">
        <v>2127</v>
      </c>
      <c r="BE7" s="693" t="s">
        <v>2128</v>
      </c>
      <c r="BF7" s="694" t="s">
        <v>2210</v>
      </c>
      <c r="BG7" s="692" t="s">
        <v>2127</v>
      </c>
      <c r="BH7" s="693" t="s">
        <v>2128</v>
      </c>
      <c r="BI7" s="694" t="s">
        <v>2210</v>
      </c>
      <c r="BJ7" s="692" t="s">
        <v>2127</v>
      </c>
      <c r="BK7" s="693" t="s">
        <v>2128</v>
      </c>
      <c r="BL7" s="694" t="s">
        <v>2210</v>
      </c>
      <c r="BM7" s="692" t="s">
        <v>2127</v>
      </c>
      <c r="BN7" s="693" t="s">
        <v>2128</v>
      </c>
      <c r="BO7" s="694" t="s">
        <v>2210</v>
      </c>
      <c r="BP7" s="692" t="s">
        <v>2127</v>
      </c>
      <c r="BQ7" s="693" t="s">
        <v>2128</v>
      </c>
      <c r="BR7" s="694" t="s">
        <v>2210</v>
      </c>
      <c r="BS7" s="692" t="s">
        <v>2127</v>
      </c>
      <c r="BT7" s="693" t="s">
        <v>2128</v>
      </c>
      <c r="BU7" s="694" t="s">
        <v>2210</v>
      </c>
      <c r="BV7" s="695" t="s">
        <v>2127</v>
      </c>
      <c r="BW7" s="696" t="s">
        <v>2128</v>
      </c>
      <c r="BX7" s="697" t="s">
        <v>2210</v>
      </c>
      <c r="BY7" s="695" t="s">
        <v>2127</v>
      </c>
      <c r="BZ7" s="696" t="s">
        <v>2128</v>
      </c>
      <c r="CA7" s="697" t="s">
        <v>2210</v>
      </c>
    </row>
    <row r="8" spans="1:79" ht="54" customHeight="1" x14ac:dyDescent="0.2">
      <c r="A8" s="698"/>
      <c r="B8" s="699"/>
      <c r="C8" s="700"/>
      <c r="D8" s="701"/>
      <c r="E8" s="702"/>
      <c r="F8" s="701" t="s">
        <v>2211</v>
      </c>
      <c r="G8" s="703"/>
      <c r="H8" s="704">
        <v>37.880713240579887</v>
      </c>
      <c r="I8" s="705">
        <v>7.8079999999999998</v>
      </c>
      <c r="J8" s="706">
        <v>1.224</v>
      </c>
      <c r="K8" s="704">
        <v>37.64748717647533</v>
      </c>
      <c r="L8" s="705">
        <v>7.76</v>
      </c>
      <c r="M8" s="706">
        <v>1.216</v>
      </c>
      <c r="N8" s="704">
        <v>37.71734719943985</v>
      </c>
      <c r="O8" s="705">
        <v>7.7759999999999998</v>
      </c>
      <c r="P8" s="706">
        <v>1.208</v>
      </c>
      <c r="Q8" s="704">
        <v>38.953371385975437</v>
      </c>
      <c r="R8" s="705">
        <v>8.032</v>
      </c>
      <c r="S8" s="706">
        <v>1.24</v>
      </c>
      <c r="T8" s="704">
        <v>43.942009141973649</v>
      </c>
      <c r="U8" s="705">
        <v>9.0239999999999991</v>
      </c>
      <c r="V8" s="706">
        <v>1.3360000000000001</v>
      </c>
      <c r="W8" s="704">
        <v>49.599268059246086</v>
      </c>
      <c r="X8" s="705">
        <v>10.183999999999999</v>
      </c>
      <c r="Y8" s="706">
        <v>1.52</v>
      </c>
      <c r="Z8" s="704">
        <v>53.298753132021453</v>
      </c>
      <c r="AA8" s="705">
        <v>10.848000000000001</v>
      </c>
      <c r="AB8" s="707">
        <v>1.8240000000000001</v>
      </c>
      <c r="AC8" s="704">
        <v>52.97569309383428</v>
      </c>
      <c r="AD8" s="705">
        <v>10.8</v>
      </c>
      <c r="AE8" s="706">
        <v>1.704</v>
      </c>
      <c r="AF8" s="704">
        <v>52.931373786390097</v>
      </c>
      <c r="AG8" s="705">
        <v>10.792</v>
      </c>
      <c r="AH8" s="706">
        <v>1.696</v>
      </c>
      <c r="AI8" s="704">
        <v>53.74755980183248</v>
      </c>
      <c r="AJ8" s="705">
        <v>10.96</v>
      </c>
      <c r="AK8" s="706">
        <v>1.712</v>
      </c>
      <c r="AL8" s="704">
        <v>51.571593641806373</v>
      </c>
      <c r="AM8" s="705">
        <v>10.592000000000001</v>
      </c>
      <c r="AN8" s="706">
        <v>1.56</v>
      </c>
      <c r="AO8" s="704">
        <v>50.635619798133924</v>
      </c>
      <c r="AP8" s="705">
        <v>10.496</v>
      </c>
      <c r="AQ8" s="706">
        <v>1.6559999999999999</v>
      </c>
      <c r="AR8" s="704">
        <v>52.069823032107799</v>
      </c>
      <c r="AS8" s="705">
        <v>10.728</v>
      </c>
      <c r="AT8" s="706">
        <v>1.712</v>
      </c>
      <c r="AU8" s="704">
        <v>54.841260260711721</v>
      </c>
      <c r="AV8" s="705">
        <v>11.208</v>
      </c>
      <c r="AW8" s="706">
        <v>2</v>
      </c>
      <c r="AX8" s="704">
        <v>56.841864730475592</v>
      </c>
      <c r="AY8" s="705">
        <v>11.568</v>
      </c>
      <c r="AZ8" s="706">
        <v>1.952</v>
      </c>
      <c r="BA8" s="704">
        <v>56.007249680992231</v>
      </c>
      <c r="BB8" s="705">
        <v>11.407999999999999</v>
      </c>
      <c r="BC8" s="707">
        <v>1.8640000000000001</v>
      </c>
      <c r="BD8" s="704">
        <v>55.12485887019411</v>
      </c>
      <c r="BE8" s="705">
        <v>11.256</v>
      </c>
      <c r="BF8" s="706">
        <v>1.6559999999999999</v>
      </c>
      <c r="BG8" s="704">
        <v>54.230854722034593</v>
      </c>
      <c r="BH8" s="705">
        <v>11.08</v>
      </c>
      <c r="BI8" s="706">
        <v>1.5840000000000001</v>
      </c>
      <c r="BJ8" s="704">
        <v>52.193441309504657</v>
      </c>
      <c r="BK8" s="705">
        <v>10.736000000000001</v>
      </c>
      <c r="BL8" s="706">
        <v>1.464</v>
      </c>
      <c r="BM8" s="704">
        <v>50.713919674156308</v>
      </c>
      <c r="BN8" s="705">
        <v>10.44</v>
      </c>
      <c r="BO8" s="706">
        <v>1.36</v>
      </c>
      <c r="BP8" s="704">
        <v>48.178650741186232</v>
      </c>
      <c r="BQ8" s="705">
        <v>9.968</v>
      </c>
      <c r="BR8" s="706">
        <v>1.296</v>
      </c>
      <c r="BS8" s="704">
        <v>44.92764515996501</v>
      </c>
      <c r="BT8" s="705">
        <v>9.2880000000000003</v>
      </c>
      <c r="BU8" s="706">
        <v>1.264</v>
      </c>
      <c r="BV8" s="704">
        <v>41.630221196320164</v>
      </c>
      <c r="BW8" s="705">
        <v>8.5920000000000005</v>
      </c>
      <c r="BX8" s="706">
        <v>1.272</v>
      </c>
      <c r="BY8" s="704">
        <v>39.374939980757837</v>
      </c>
      <c r="BZ8" s="705">
        <v>8.1679999999999993</v>
      </c>
      <c r="CA8" s="707">
        <v>1.248</v>
      </c>
    </row>
    <row r="9" spans="1:79" ht="21.75" customHeight="1" thickBot="1" x14ac:dyDescent="0.25">
      <c r="A9" s="708"/>
      <c r="B9" s="709"/>
      <c r="C9" s="656"/>
      <c r="D9" s="710" t="s">
        <v>13</v>
      </c>
      <c r="E9" s="656"/>
      <c r="F9" s="711" t="s">
        <v>39</v>
      </c>
      <c r="G9" s="712"/>
      <c r="H9" s="713">
        <v>443.53534143824589</v>
      </c>
      <c r="I9" s="714">
        <v>7.8079999999999998</v>
      </c>
      <c r="J9" s="706">
        <v>1.224</v>
      </c>
      <c r="K9" s="713">
        <v>445.1261719100907</v>
      </c>
      <c r="L9" s="714">
        <v>7.76</v>
      </c>
      <c r="M9" s="706">
        <v>1.216</v>
      </c>
      <c r="N9" s="713">
        <v>441.62253128664514</v>
      </c>
      <c r="O9" s="714">
        <v>7.7759999999999998</v>
      </c>
      <c r="P9" s="706">
        <v>1.208</v>
      </c>
      <c r="Q9" s="713">
        <v>460.56633226947434</v>
      </c>
      <c r="R9" s="714">
        <v>8.032</v>
      </c>
      <c r="S9" s="706">
        <v>1.24</v>
      </c>
      <c r="T9" s="713">
        <v>511.94573757639193</v>
      </c>
      <c r="U9" s="714">
        <v>9.0239999999999991</v>
      </c>
      <c r="V9" s="706">
        <v>1.3360000000000001</v>
      </c>
      <c r="W9" s="713">
        <v>583.52080069701287</v>
      </c>
      <c r="X9" s="714">
        <v>10.183999999999999</v>
      </c>
      <c r="Y9" s="706">
        <v>1.52</v>
      </c>
      <c r="Z9" s="713">
        <v>623.38639692648621</v>
      </c>
      <c r="AA9" s="714">
        <v>10.848000000000001</v>
      </c>
      <c r="AB9" s="707">
        <v>1.8240000000000001</v>
      </c>
      <c r="AC9" s="713">
        <v>625.74259268261676</v>
      </c>
      <c r="AD9" s="714">
        <v>10.8</v>
      </c>
      <c r="AE9" s="706">
        <v>1.704</v>
      </c>
      <c r="AF9" s="713">
        <v>625.21909828874641</v>
      </c>
      <c r="AG9" s="714">
        <v>10.792</v>
      </c>
      <c r="AH9" s="706">
        <v>1.696</v>
      </c>
      <c r="AI9" s="713">
        <v>628.63567493711912</v>
      </c>
      <c r="AJ9" s="714">
        <v>10.96</v>
      </c>
      <c r="AK9" s="706">
        <v>1.712</v>
      </c>
      <c r="AL9" s="713">
        <v>618.85912370167637</v>
      </c>
      <c r="AM9" s="714">
        <v>10.592000000000001</v>
      </c>
      <c r="AN9" s="706">
        <v>1.56</v>
      </c>
      <c r="AO9" s="713">
        <v>602.16673348173003</v>
      </c>
      <c r="AP9" s="714">
        <v>10.496</v>
      </c>
      <c r="AQ9" s="706">
        <v>1.6559999999999999</v>
      </c>
      <c r="AR9" s="713">
        <v>621.74461957150493</v>
      </c>
      <c r="AS9" s="714">
        <v>10.728</v>
      </c>
      <c r="AT9" s="706">
        <v>1.712</v>
      </c>
      <c r="AU9" s="713">
        <v>651.57932983023829</v>
      </c>
      <c r="AV9" s="714">
        <v>11.208</v>
      </c>
      <c r="AW9" s="706">
        <v>2</v>
      </c>
      <c r="AX9" s="713">
        <v>671.4093527074989</v>
      </c>
      <c r="AY9" s="714">
        <v>11.568</v>
      </c>
      <c r="AZ9" s="706">
        <v>1.952</v>
      </c>
      <c r="BA9" s="713">
        <v>655.06518499435037</v>
      </c>
      <c r="BB9" s="714">
        <v>11.407999999999999</v>
      </c>
      <c r="BC9" s="707">
        <v>1.8640000000000001</v>
      </c>
      <c r="BD9" s="713">
        <v>651.12828348655023</v>
      </c>
      <c r="BE9" s="714">
        <v>11.256</v>
      </c>
      <c r="BF9" s="706">
        <v>1.6559999999999999</v>
      </c>
      <c r="BG9" s="713">
        <v>640.56841270680457</v>
      </c>
      <c r="BH9" s="714">
        <v>11.08</v>
      </c>
      <c r="BI9" s="706">
        <v>1.5840000000000001</v>
      </c>
      <c r="BJ9" s="713">
        <v>620.12009476639196</v>
      </c>
      <c r="BK9" s="714">
        <v>10.736000000000001</v>
      </c>
      <c r="BL9" s="706">
        <v>1.464</v>
      </c>
      <c r="BM9" s="713">
        <v>596.63434910772128</v>
      </c>
      <c r="BN9" s="714">
        <v>10.44</v>
      </c>
      <c r="BO9" s="706">
        <v>1.36</v>
      </c>
      <c r="BP9" s="713">
        <v>569.6416940575549</v>
      </c>
      <c r="BQ9" s="714">
        <v>9.968</v>
      </c>
      <c r="BR9" s="706">
        <v>1.296</v>
      </c>
      <c r="BS9" s="713">
        <v>531.20333395017451</v>
      </c>
      <c r="BT9" s="714">
        <v>9.2880000000000003</v>
      </c>
      <c r="BU9" s="706">
        <v>1.264</v>
      </c>
      <c r="BV9" s="713">
        <v>492.21614473296194</v>
      </c>
      <c r="BW9" s="714">
        <v>8.5920000000000005</v>
      </c>
      <c r="BX9" s="706">
        <v>1.272</v>
      </c>
      <c r="BY9" s="713">
        <v>468.25296271234572</v>
      </c>
      <c r="BZ9" s="714">
        <v>8.1679999999999993</v>
      </c>
      <c r="CA9" s="707">
        <v>1.248</v>
      </c>
    </row>
    <row r="10" spans="1:79" s="725" customFormat="1" ht="18" customHeight="1" thickBot="1" x14ac:dyDescent="0.25">
      <c r="A10" s="715"/>
      <c r="B10" s="716" t="s">
        <v>12</v>
      </c>
      <c r="C10" s="717">
        <v>25</v>
      </c>
      <c r="D10" s="718" t="s">
        <v>2130</v>
      </c>
      <c r="E10" s="719"/>
      <c r="F10" s="719"/>
      <c r="G10" s="720"/>
      <c r="H10" s="721"/>
      <c r="I10" s="722" t="s">
        <v>1654</v>
      </c>
      <c r="J10" s="723"/>
      <c r="K10" s="721"/>
      <c r="L10" s="722" t="s">
        <v>1654</v>
      </c>
      <c r="M10" s="723"/>
      <c r="N10" s="721"/>
      <c r="O10" s="722" t="s">
        <v>1654</v>
      </c>
      <c r="P10" s="723"/>
      <c r="Q10" s="721"/>
      <c r="R10" s="722" t="s">
        <v>1654</v>
      </c>
      <c r="S10" s="723"/>
      <c r="T10" s="721"/>
      <c r="U10" s="722" t="s">
        <v>1654</v>
      </c>
      <c r="V10" s="723"/>
      <c r="W10" s="721"/>
      <c r="X10" s="722" t="s">
        <v>1654</v>
      </c>
      <c r="Y10" s="723"/>
      <c r="Z10" s="721"/>
      <c r="AA10" s="722" t="s">
        <v>1654</v>
      </c>
      <c r="AB10" s="723"/>
      <c r="AC10" s="724"/>
      <c r="AD10" s="722" t="s">
        <v>1654</v>
      </c>
      <c r="AE10" s="723"/>
      <c r="AF10" s="721"/>
      <c r="AG10" s="722" t="s">
        <v>1654</v>
      </c>
      <c r="AH10" s="723"/>
      <c r="AI10" s="721"/>
      <c r="AJ10" s="722" t="s">
        <v>1654</v>
      </c>
      <c r="AK10" s="723"/>
      <c r="AL10" s="721"/>
      <c r="AM10" s="722" t="s">
        <v>1654</v>
      </c>
      <c r="AN10" s="723"/>
      <c r="AO10" s="721"/>
      <c r="AP10" s="722" t="s">
        <v>1654</v>
      </c>
      <c r="AQ10" s="723"/>
      <c r="AR10" s="721"/>
      <c r="AS10" s="722" t="s">
        <v>1654</v>
      </c>
      <c r="AT10" s="723"/>
      <c r="AU10" s="721"/>
      <c r="AV10" s="722" t="s">
        <v>1654</v>
      </c>
      <c r="AW10" s="723"/>
      <c r="AX10" s="721"/>
      <c r="AY10" s="722" t="s">
        <v>1654</v>
      </c>
      <c r="AZ10" s="723"/>
      <c r="BA10" s="721"/>
      <c r="BB10" s="722" t="s">
        <v>1654</v>
      </c>
      <c r="BC10" s="723"/>
      <c r="BD10" s="724"/>
      <c r="BE10" s="722" t="s">
        <v>1654</v>
      </c>
      <c r="BF10" s="723"/>
      <c r="BG10" s="721"/>
      <c r="BH10" s="722" t="s">
        <v>1654</v>
      </c>
      <c r="BI10" s="723"/>
      <c r="BJ10" s="721"/>
      <c r="BK10" s="722" t="s">
        <v>1654</v>
      </c>
      <c r="BL10" s="723"/>
      <c r="BM10" s="721"/>
      <c r="BN10" s="722" t="s">
        <v>1654</v>
      </c>
      <c r="BO10" s="723"/>
      <c r="BP10" s="721"/>
      <c r="BQ10" s="722" t="s">
        <v>1654</v>
      </c>
      <c r="BR10" s="723"/>
      <c r="BS10" s="721"/>
      <c r="BT10" s="722" t="s">
        <v>1654</v>
      </c>
      <c r="BU10" s="723"/>
      <c r="BV10" s="721"/>
      <c r="BW10" s="722" t="s">
        <v>1654</v>
      </c>
      <c r="BX10" s="723"/>
      <c r="BY10" s="721"/>
      <c r="BZ10" s="722" t="s">
        <v>1654</v>
      </c>
      <c r="CA10" s="723"/>
    </row>
    <row r="11" spans="1:79" s="738" customFormat="1" ht="18" customHeight="1" x14ac:dyDescent="0.2">
      <c r="A11" s="726"/>
      <c r="B11" s="727"/>
      <c r="C11" s="728"/>
      <c r="D11" s="729"/>
      <c r="E11" s="730"/>
      <c r="F11" s="731" t="s">
        <v>2211</v>
      </c>
      <c r="G11" s="732"/>
      <c r="H11" s="733"/>
      <c r="I11" s="734">
        <v>1E-8</v>
      </c>
      <c r="J11" s="735"/>
      <c r="K11" s="736"/>
      <c r="L11" s="737">
        <v>1E-8</v>
      </c>
      <c r="M11" s="735"/>
      <c r="N11" s="736"/>
      <c r="O11" s="737">
        <v>1E-8</v>
      </c>
      <c r="P11" s="735"/>
      <c r="Q11" s="736"/>
      <c r="R11" s="737">
        <v>1E-8</v>
      </c>
      <c r="S11" s="735"/>
      <c r="T11" s="736"/>
      <c r="U11" s="737">
        <v>1E-8</v>
      </c>
      <c r="V11" s="735"/>
      <c r="W11" s="736"/>
      <c r="X11" s="737">
        <v>1E-8</v>
      </c>
      <c r="Y11" s="735"/>
      <c r="Z11" s="736"/>
      <c r="AA11" s="737">
        <v>1E-8</v>
      </c>
      <c r="AB11" s="735"/>
      <c r="AC11" s="736"/>
      <c r="AD11" s="737">
        <v>1E-8</v>
      </c>
      <c r="AE11" s="735"/>
      <c r="AF11" s="736"/>
      <c r="AG11" s="737">
        <v>1E-8</v>
      </c>
      <c r="AH11" s="735"/>
      <c r="AI11" s="736"/>
      <c r="AJ11" s="737">
        <v>1E-8</v>
      </c>
      <c r="AK11" s="735"/>
      <c r="AL11" s="736"/>
      <c r="AM11" s="737">
        <v>1E-8</v>
      </c>
      <c r="AN11" s="735"/>
      <c r="AO11" s="736"/>
      <c r="AP11" s="737">
        <v>121.3</v>
      </c>
      <c r="AQ11" s="735"/>
      <c r="AR11" s="736"/>
      <c r="AS11" s="737">
        <v>120.6</v>
      </c>
      <c r="AT11" s="735"/>
      <c r="AU11" s="736"/>
      <c r="AV11" s="737">
        <v>120</v>
      </c>
      <c r="AW11" s="735"/>
      <c r="AX11" s="736"/>
      <c r="AY11" s="737">
        <v>119.3</v>
      </c>
      <c r="AZ11" s="735"/>
      <c r="BA11" s="736"/>
      <c r="BB11" s="737">
        <v>119.3</v>
      </c>
      <c r="BC11" s="735"/>
      <c r="BD11" s="736"/>
      <c r="BE11" s="737">
        <v>119.3</v>
      </c>
      <c r="BF11" s="735"/>
      <c r="BG11" s="736"/>
      <c r="BH11" s="737">
        <v>119.3</v>
      </c>
      <c r="BI11" s="735"/>
      <c r="BJ11" s="736"/>
      <c r="BK11" s="737">
        <v>120</v>
      </c>
      <c r="BL11" s="735"/>
      <c r="BM11" s="736"/>
      <c r="BN11" s="737">
        <v>120</v>
      </c>
      <c r="BO11" s="735"/>
      <c r="BP11" s="736"/>
      <c r="BQ11" s="737">
        <v>120.6</v>
      </c>
      <c r="BR11" s="735"/>
      <c r="BS11" s="736"/>
      <c r="BT11" s="737">
        <v>120.6</v>
      </c>
      <c r="BU11" s="735"/>
      <c r="BV11" s="736"/>
      <c r="BW11" s="737">
        <v>120.6</v>
      </c>
      <c r="BX11" s="735"/>
      <c r="BY11" s="736"/>
      <c r="BZ11" s="737">
        <v>121.3</v>
      </c>
      <c r="CA11" s="735"/>
    </row>
    <row r="12" spans="1:79" s="738" customFormat="1" ht="18" customHeight="1" thickBot="1" x14ac:dyDescent="0.25">
      <c r="A12" s="729"/>
      <c r="B12" s="739"/>
      <c r="C12" s="740"/>
      <c r="D12" s="729" t="s">
        <v>2131</v>
      </c>
      <c r="E12" s="739"/>
      <c r="F12" s="741" t="s">
        <v>39</v>
      </c>
      <c r="G12" s="742"/>
      <c r="H12" s="733"/>
      <c r="I12" s="743">
        <v>10.3</v>
      </c>
      <c r="J12" s="744"/>
      <c r="K12" s="745"/>
      <c r="L12" s="743">
        <v>10.199999999999999</v>
      </c>
      <c r="M12" s="744"/>
      <c r="N12" s="745"/>
      <c r="O12" s="743">
        <v>10.3</v>
      </c>
      <c r="P12" s="744"/>
      <c r="Q12" s="745"/>
      <c r="R12" s="743">
        <v>10.199999999999999</v>
      </c>
      <c r="S12" s="744"/>
      <c r="T12" s="745"/>
      <c r="U12" s="743">
        <v>10.3</v>
      </c>
      <c r="V12" s="744"/>
      <c r="W12" s="745"/>
      <c r="X12" s="743">
        <v>10.199999999999999</v>
      </c>
      <c r="Y12" s="744"/>
      <c r="Z12" s="745"/>
      <c r="AA12" s="743">
        <v>10.199999999999999</v>
      </c>
      <c r="AB12" s="744"/>
      <c r="AC12" s="745"/>
      <c r="AD12" s="743">
        <v>10.1</v>
      </c>
      <c r="AE12" s="744"/>
      <c r="AF12" s="745"/>
      <c r="AG12" s="743">
        <v>10.1</v>
      </c>
      <c r="AH12" s="744"/>
      <c r="AI12" s="745"/>
      <c r="AJ12" s="743">
        <v>10.199999999999999</v>
      </c>
      <c r="AK12" s="744"/>
      <c r="AL12" s="745"/>
      <c r="AM12" s="743">
        <v>10</v>
      </c>
      <c r="AN12" s="744"/>
      <c r="AO12" s="745"/>
      <c r="AP12" s="743">
        <v>10.199999999999999</v>
      </c>
      <c r="AQ12" s="744"/>
      <c r="AR12" s="745"/>
      <c r="AS12" s="743">
        <v>10.1</v>
      </c>
      <c r="AT12" s="744"/>
      <c r="AU12" s="745"/>
      <c r="AV12" s="743">
        <v>10.1</v>
      </c>
      <c r="AW12" s="744"/>
      <c r="AX12" s="745"/>
      <c r="AY12" s="743">
        <v>10.1</v>
      </c>
      <c r="AZ12" s="744"/>
      <c r="BA12" s="745"/>
      <c r="BB12" s="743">
        <v>10.199999999999999</v>
      </c>
      <c r="BC12" s="744"/>
      <c r="BD12" s="745"/>
      <c r="BE12" s="743">
        <v>10.1</v>
      </c>
      <c r="BF12" s="744"/>
      <c r="BG12" s="745"/>
      <c r="BH12" s="743">
        <v>10.1</v>
      </c>
      <c r="BI12" s="744"/>
      <c r="BJ12" s="745"/>
      <c r="BK12" s="743">
        <v>10.1</v>
      </c>
      <c r="BL12" s="744"/>
      <c r="BM12" s="745"/>
      <c r="BN12" s="743">
        <v>10.199999999999999</v>
      </c>
      <c r="BO12" s="744"/>
      <c r="BP12" s="745"/>
      <c r="BQ12" s="746">
        <v>10.199999999999999</v>
      </c>
      <c r="BR12" s="747"/>
      <c r="BS12" s="748"/>
      <c r="BT12" s="746">
        <v>10.199999999999999</v>
      </c>
      <c r="BU12" s="744"/>
      <c r="BV12" s="745"/>
      <c r="BW12" s="743">
        <v>10.199999999999999</v>
      </c>
      <c r="BX12" s="744"/>
      <c r="BY12" s="745"/>
      <c r="BZ12" s="743">
        <v>10.199999999999999</v>
      </c>
      <c r="CA12" s="744"/>
    </row>
    <row r="13" spans="1:79" s="738" customFormat="1" ht="18" customHeight="1" thickBot="1" x14ac:dyDescent="0.25">
      <c r="A13" s="729"/>
      <c r="B13" s="739"/>
      <c r="C13" s="749"/>
      <c r="D13" s="750" t="s">
        <v>31</v>
      </c>
      <c r="E13" s="751"/>
      <c r="F13" s="751"/>
      <c r="G13" s="752"/>
      <c r="H13" s="753"/>
      <c r="I13" s="754"/>
      <c r="J13" s="755"/>
      <c r="K13" s="753"/>
      <c r="L13" s="754"/>
      <c r="M13" s="755"/>
      <c r="N13" s="753"/>
      <c r="O13" s="754"/>
      <c r="P13" s="755"/>
      <c r="Q13" s="753"/>
      <c r="R13" s="754"/>
      <c r="S13" s="755"/>
      <c r="T13" s="753"/>
      <c r="U13" s="754"/>
      <c r="V13" s="755"/>
      <c r="W13" s="753"/>
      <c r="X13" s="754"/>
      <c r="Y13" s="755"/>
      <c r="Z13" s="753"/>
      <c r="AA13" s="754"/>
      <c r="AB13" s="755"/>
      <c r="AC13" s="756"/>
      <c r="AD13" s="754"/>
      <c r="AE13" s="755"/>
      <c r="AF13" s="753"/>
      <c r="AG13" s="754"/>
      <c r="AH13" s="755"/>
      <c r="AI13" s="753"/>
      <c r="AJ13" s="754"/>
      <c r="AK13" s="755"/>
      <c r="AL13" s="753"/>
      <c r="AM13" s="754"/>
      <c r="AN13" s="755"/>
      <c r="AO13" s="753"/>
      <c r="AP13" s="754"/>
      <c r="AQ13" s="755"/>
      <c r="AR13" s="753"/>
      <c r="AS13" s="754"/>
      <c r="AT13" s="755"/>
      <c r="AU13" s="753"/>
      <c r="AV13" s="754"/>
      <c r="AW13" s="755"/>
      <c r="AX13" s="753"/>
      <c r="AY13" s="754"/>
      <c r="AZ13" s="755"/>
      <c r="BA13" s="753"/>
      <c r="BB13" s="754"/>
      <c r="BC13" s="755"/>
      <c r="BD13" s="756"/>
      <c r="BE13" s="754"/>
      <c r="BF13" s="755"/>
      <c r="BG13" s="753"/>
      <c r="BH13" s="754"/>
      <c r="BI13" s="755"/>
      <c r="BJ13" s="753"/>
      <c r="BK13" s="754"/>
      <c r="BL13" s="755"/>
      <c r="BM13" s="753"/>
      <c r="BN13" s="754"/>
      <c r="BO13" s="755"/>
      <c r="BP13" s="753"/>
      <c r="BQ13" s="754"/>
      <c r="BR13" s="755"/>
      <c r="BS13" s="753"/>
      <c r="BT13" s="754"/>
      <c r="BU13" s="755"/>
      <c r="BV13" s="753"/>
      <c r="BW13" s="754"/>
      <c r="BX13" s="755"/>
      <c r="BY13" s="753"/>
      <c r="BZ13" s="754"/>
      <c r="CA13" s="755"/>
    </row>
    <row r="14" spans="1:79" s="738" customFormat="1" ht="18" customHeight="1" x14ac:dyDescent="0.2">
      <c r="A14" s="757"/>
      <c r="B14" s="758"/>
      <c r="C14" s="759"/>
      <c r="D14" s="731"/>
      <c r="E14" s="760"/>
      <c r="F14" s="731" t="s">
        <v>2211</v>
      </c>
      <c r="G14" s="761"/>
      <c r="H14" s="762">
        <v>35.14216096792606</v>
      </c>
      <c r="I14" s="705">
        <v>7.2720000000000002</v>
      </c>
      <c r="J14" s="706">
        <v>0.93600000000000005</v>
      </c>
      <c r="K14" s="762">
        <v>34.899397693218972</v>
      </c>
      <c r="L14" s="705">
        <v>7.2240000000000002</v>
      </c>
      <c r="M14" s="706">
        <v>0.91200000000000003</v>
      </c>
      <c r="N14" s="762">
        <v>34.86135605649811</v>
      </c>
      <c r="O14" s="705">
        <v>7.2160000000000002</v>
      </c>
      <c r="P14" s="706">
        <v>0.91200000000000003</v>
      </c>
      <c r="Q14" s="762">
        <v>35.555716857046647</v>
      </c>
      <c r="R14" s="705">
        <v>7.36</v>
      </c>
      <c r="S14" s="706">
        <v>0.92800000000000005</v>
      </c>
      <c r="T14" s="762">
        <v>38.988495248230073</v>
      </c>
      <c r="U14" s="705">
        <v>8.032</v>
      </c>
      <c r="V14" s="706">
        <v>1</v>
      </c>
      <c r="W14" s="762">
        <v>42.50670351840018</v>
      </c>
      <c r="X14" s="705">
        <v>8.7520000000000007</v>
      </c>
      <c r="Y14" s="706">
        <v>1.1279999999999999</v>
      </c>
      <c r="Z14" s="762">
        <v>45.454600503420018</v>
      </c>
      <c r="AA14" s="705">
        <v>9.2880000000000003</v>
      </c>
      <c r="AB14" s="707">
        <v>1.32</v>
      </c>
      <c r="AC14" s="762">
        <v>44.095718120111265</v>
      </c>
      <c r="AD14" s="705">
        <v>9.016</v>
      </c>
      <c r="AE14" s="706">
        <v>1.24</v>
      </c>
      <c r="AF14" s="762">
        <v>45.926023483687814</v>
      </c>
      <c r="AG14" s="705">
        <v>9.3840000000000003</v>
      </c>
      <c r="AH14" s="706">
        <v>1.3360000000000001</v>
      </c>
      <c r="AI14" s="762">
        <v>45.849275199183538</v>
      </c>
      <c r="AJ14" s="705">
        <v>9.3680000000000003</v>
      </c>
      <c r="AK14" s="706">
        <v>1.3360000000000001</v>
      </c>
      <c r="AL14" s="762">
        <v>45.218341176514286</v>
      </c>
      <c r="AM14" s="705">
        <v>9.3040000000000003</v>
      </c>
      <c r="AN14" s="706">
        <v>1.248</v>
      </c>
      <c r="AO14" s="762">
        <v>45.263591082393049</v>
      </c>
      <c r="AP14" s="705">
        <v>9.2560000000000002</v>
      </c>
      <c r="AQ14" s="706">
        <v>1.264</v>
      </c>
      <c r="AR14" s="762">
        <v>45.355045864532308</v>
      </c>
      <c r="AS14" s="705">
        <v>9.3680000000000003</v>
      </c>
      <c r="AT14" s="706">
        <v>1.3360000000000001</v>
      </c>
      <c r="AU14" s="762">
        <v>47.662300228038553</v>
      </c>
      <c r="AV14" s="705">
        <v>9.7759999999999998</v>
      </c>
      <c r="AW14" s="706">
        <v>1.528</v>
      </c>
      <c r="AX14" s="762">
        <v>49.356562888184975</v>
      </c>
      <c r="AY14" s="705">
        <v>10.064</v>
      </c>
      <c r="AZ14" s="706">
        <v>1.5760000000000001</v>
      </c>
      <c r="BA14" s="762">
        <v>48.661876163778999</v>
      </c>
      <c r="BB14" s="705">
        <v>9.9359999999999999</v>
      </c>
      <c r="BC14" s="707">
        <v>1.464</v>
      </c>
      <c r="BD14" s="762">
        <v>48.465294344747157</v>
      </c>
      <c r="BE14" s="705">
        <v>9.9120000000000008</v>
      </c>
      <c r="BF14" s="706">
        <v>1.3440000000000001</v>
      </c>
      <c r="BG14" s="762">
        <v>47.736687700239301</v>
      </c>
      <c r="BH14" s="705">
        <v>9.7759999999999998</v>
      </c>
      <c r="BI14" s="706">
        <v>1.224</v>
      </c>
      <c r="BJ14" s="762">
        <v>46.011625242416237</v>
      </c>
      <c r="BK14" s="705">
        <v>9.4879999999999995</v>
      </c>
      <c r="BL14" s="706">
        <v>1.1040000000000001</v>
      </c>
      <c r="BM14" s="762">
        <v>45.377076588823961</v>
      </c>
      <c r="BN14" s="705">
        <v>9.36</v>
      </c>
      <c r="BO14" s="706">
        <v>1.0640000000000001</v>
      </c>
      <c r="BP14" s="762">
        <v>42.8907448602925</v>
      </c>
      <c r="BQ14" s="705">
        <v>8.8879999999999999</v>
      </c>
      <c r="BR14" s="706">
        <v>1.04</v>
      </c>
      <c r="BS14" s="762">
        <v>40.250037388586335</v>
      </c>
      <c r="BT14" s="705">
        <v>8.3360000000000003</v>
      </c>
      <c r="BU14" s="706">
        <v>1.016</v>
      </c>
      <c r="BV14" s="762">
        <v>37.329677753656732</v>
      </c>
      <c r="BW14" s="705">
        <v>7.7279999999999998</v>
      </c>
      <c r="BX14" s="706">
        <v>0.96799999999999997</v>
      </c>
      <c r="BY14" s="762">
        <v>35.591878618137265</v>
      </c>
      <c r="BZ14" s="705">
        <v>7.4080000000000004</v>
      </c>
      <c r="CA14" s="707">
        <v>0.95199999999999996</v>
      </c>
    </row>
    <row r="15" spans="1:79" s="738" customFormat="1" ht="18" customHeight="1" thickBot="1" x14ac:dyDescent="0.25">
      <c r="A15" s="726"/>
      <c r="B15" s="730"/>
      <c r="C15" s="763"/>
      <c r="D15" s="729" t="s">
        <v>13</v>
      </c>
      <c r="E15" s="730"/>
      <c r="F15" s="741" t="s">
        <v>39</v>
      </c>
      <c r="G15" s="764"/>
      <c r="H15" s="765">
        <v>415.50437379724343</v>
      </c>
      <c r="I15" s="714">
        <v>7.2720000000000002</v>
      </c>
      <c r="J15" s="706">
        <v>0.93600000000000005</v>
      </c>
      <c r="K15" s="765">
        <v>408.62789920409779</v>
      </c>
      <c r="L15" s="714">
        <v>7.2240000000000002</v>
      </c>
      <c r="M15" s="706">
        <v>0.91200000000000003</v>
      </c>
      <c r="N15" s="765">
        <v>408.18247965181274</v>
      </c>
      <c r="O15" s="714">
        <v>7.2160000000000002</v>
      </c>
      <c r="P15" s="706">
        <v>0.91200000000000003</v>
      </c>
      <c r="Q15" s="765">
        <v>420.39406401566919</v>
      </c>
      <c r="R15" s="714">
        <v>7.36</v>
      </c>
      <c r="S15" s="706">
        <v>0.92800000000000005</v>
      </c>
      <c r="T15" s="765">
        <v>458.68817939094214</v>
      </c>
      <c r="U15" s="714">
        <v>8.032</v>
      </c>
      <c r="V15" s="706">
        <v>1</v>
      </c>
      <c r="W15" s="765">
        <v>505.03014081267543</v>
      </c>
      <c r="X15" s="714">
        <v>8.7520000000000007</v>
      </c>
      <c r="Y15" s="706">
        <v>1.1279999999999999</v>
      </c>
      <c r="Z15" s="765">
        <v>531.64057255470675</v>
      </c>
      <c r="AA15" s="714">
        <v>9.2880000000000003</v>
      </c>
      <c r="AB15" s="707">
        <v>1.32</v>
      </c>
      <c r="AC15" s="765">
        <v>520.85338333953212</v>
      </c>
      <c r="AD15" s="714">
        <v>9.016</v>
      </c>
      <c r="AE15" s="706">
        <v>1.24</v>
      </c>
      <c r="AF15" s="765">
        <v>542.47273283207483</v>
      </c>
      <c r="AG15" s="714">
        <v>9.3840000000000003</v>
      </c>
      <c r="AH15" s="706">
        <v>1.3360000000000001</v>
      </c>
      <c r="AI15" s="765">
        <v>0</v>
      </c>
      <c r="AJ15" s="714">
        <v>9.3680000000000003</v>
      </c>
      <c r="AK15" s="706">
        <v>1.3360000000000001</v>
      </c>
      <c r="AL15" s="765">
        <v>0</v>
      </c>
      <c r="AM15" s="714">
        <v>9.3040000000000003</v>
      </c>
      <c r="AN15" s="706">
        <v>1.248</v>
      </c>
      <c r="AO15" s="765">
        <v>529.40651138524424</v>
      </c>
      <c r="AP15" s="714">
        <v>9.2560000000000002</v>
      </c>
      <c r="AQ15" s="706">
        <v>1.264</v>
      </c>
      <c r="AR15" s="765">
        <v>536.25671875123498</v>
      </c>
      <c r="AS15" s="714">
        <v>9.3680000000000003</v>
      </c>
      <c r="AT15" s="706">
        <v>1.3360000000000001</v>
      </c>
      <c r="AU15" s="765">
        <v>560.73294385927716</v>
      </c>
      <c r="AV15" s="714">
        <v>9.7759999999999998</v>
      </c>
      <c r="AW15" s="706">
        <v>1.528</v>
      </c>
      <c r="AX15" s="765">
        <v>582.99385668915511</v>
      </c>
      <c r="AY15" s="714">
        <v>10.064</v>
      </c>
      <c r="AZ15" s="706">
        <v>1.5760000000000001</v>
      </c>
      <c r="BA15" s="765">
        <v>574.78829963750832</v>
      </c>
      <c r="BB15" s="714">
        <v>9.9359999999999999</v>
      </c>
      <c r="BC15" s="707">
        <v>1.464</v>
      </c>
      <c r="BD15" s="765">
        <v>572.46629854736</v>
      </c>
      <c r="BE15" s="714">
        <v>9.9120000000000008</v>
      </c>
      <c r="BF15" s="706">
        <v>1.3440000000000001</v>
      </c>
      <c r="BG15" s="765">
        <v>563.86008342955927</v>
      </c>
      <c r="BH15" s="714">
        <v>9.7759999999999998</v>
      </c>
      <c r="BI15" s="706">
        <v>1.224</v>
      </c>
      <c r="BJ15" s="765">
        <v>536.05776981455801</v>
      </c>
      <c r="BK15" s="714">
        <v>9.4879999999999995</v>
      </c>
      <c r="BL15" s="706">
        <v>1.1040000000000001</v>
      </c>
      <c r="BM15" s="765">
        <v>533.84795986851725</v>
      </c>
      <c r="BN15" s="714">
        <v>9.36</v>
      </c>
      <c r="BO15" s="706">
        <v>1.0640000000000001</v>
      </c>
      <c r="BP15" s="765">
        <v>507.11998334816428</v>
      </c>
      <c r="BQ15" s="714">
        <v>8.8879999999999999</v>
      </c>
      <c r="BR15" s="706">
        <v>1.04</v>
      </c>
      <c r="BS15" s="765">
        <v>480.60935733302091</v>
      </c>
      <c r="BT15" s="714">
        <v>8.3360000000000003</v>
      </c>
      <c r="BU15" s="706">
        <v>1.016</v>
      </c>
      <c r="BV15" s="765">
        <v>437.08341136805831</v>
      </c>
      <c r="BW15" s="714">
        <v>7.7279999999999998</v>
      </c>
      <c r="BX15" s="706">
        <v>0.96799999999999997</v>
      </c>
      <c r="BY15" s="765">
        <v>423.2642035666716</v>
      </c>
      <c r="BZ15" s="714">
        <v>7.4080000000000004</v>
      </c>
      <c r="CA15" s="707">
        <v>0.95199999999999996</v>
      </c>
    </row>
    <row r="16" spans="1:79" s="725" customFormat="1" ht="18" customHeight="1" thickBot="1" x14ac:dyDescent="0.25">
      <c r="A16" s="715"/>
      <c r="B16" s="766" t="s">
        <v>16</v>
      </c>
      <c r="C16" s="717">
        <v>25</v>
      </c>
      <c r="D16" s="718" t="s">
        <v>2130</v>
      </c>
      <c r="E16" s="719"/>
      <c r="F16" s="719"/>
      <c r="G16" s="720"/>
      <c r="H16" s="721"/>
      <c r="I16" s="722" t="s">
        <v>1654</v>
      </c>
      <c r="J16" s="723"/>
      <c r="K16" s="721"/>
      <c r="L16" s="722" t="s">
        <v>1654</v>
      </c>
      <c r="M16" s="723"/>
      <c r="N16" s="721"/>
      <c r="O16" s="722" t="s">
        <v>1654</v>
      </c>
      <c r="P16" s="723"/>
      <c r="Q16" s="721"/>
      <c r="R16" s="722" t="s">
        <v>1654</v>
      </c>
      <c r="S16" s="723"/>
      <c r="T16" s="721"/>
      <c r="U16" s="722" t="s">
        <v>1654</v>
      </c>
      <c r="V16" s="723"/>
      <c r="W16" s="721"/>
      <c r="X16" s="722" t="s">
        <v>1654</v>
      </c>
      <c r="Y16" s="723"/>
      <c r="Z16" s="721"/>
      <c r="AA16" s="722" t="s">
        <v>1654</v>
      </c>
      <c r="AB16" s="723"/>
      <c r="AC16" s="724"/>
      <c r="AD16" s="722" t="s">
        <v>1654</v>
      </c>
      <c r="AE16" s="723"/>
      <c r="AF16" s="721"/>
      <c r="AG16" s="722" t="s">
        <v>1654</v>
      </c>
      <c r="AH16" s="723"/>
      <c r="AI16" s="721"/>
      <c r="AJ16" s="722" t="s">
        <v>1654</v>
      </c>
      <c r="AK16" s="723"/>
      <c r="AL16" s="721"/>
      <c r="AM16" s="722" t="s">
        <v>1654</v>
      </c>
      <c r="AN16" s="723"/>
      <c r="AO16" s="721"/>
      <c r="AP16" s="722" t="s">
        <v>1654</v>
      </c>
      <c r="AQ16" s="723"/>
      <c r="AR16" s="721"/>
      <c r="AS16" s="722" t="s">
        <v>1654</v>
      </c>
      <c r="AT16" s="723"/>
      <c r="AU16" s="721"/>
      <c r="AV16" s="722" t="s">
        <v>1654</v>
      </c>
      <c r="AW16" s="723"/>
      <c r="AX16" s="721"/>
      <c r="AY16" s="722" t="s">
        <v>1654</v>
      </c>
      <c r="AZ16" s="723"/>
      <c r="BA16" s="721"/>
      <c r="BB16" s="722" t="s">
        <v>1654</v>
      </c>
      <c r="BC16" s="723"/>
      <c r="BD16" s="724"/>
      <c r="BE16" s="722" t="s">
        <v>1654</v>
      </c>
      <c r="BF16" s="723"/>
      <c r="BG16" s="721"/>
      <c r="BH16" s="722" t="s">
        <v>1654</v>
      </c>
      <c r="BI16" s="723"/>
      <c r="BJ16" s="721"/>
      <c r="BK16" s="722" t="s">
        <v>1654</v>
      </c>
      <c r="BL16" s="723"/>
      <c r="BM16" s="721"/>
      <c r="BN16" s="722" t="s">
        <v>1654</v>
      </c>
      <c r="BO16" s="723"/>
      <c r="BP16" s="721"/>
      <c r="BQ16" s="722" t="s">
        <v>1654</v>
      </c>
      <c r="BR16" s="723"/>
      <c r="BS16" s="721"/>
      <c r="BT16" s="722" t="s">
        <v>1654</v>
      </c>
      <c r="BU16" s="723"/>
      <c r="BV16" s="721"/>
      <c r="BW16" s="722" t="s">
        <v>1654</v>
      </c>
      <c r="BX16" s="723"/>
      <c r="BY16" s="721"/>
      <c r="BZ16" s="722" t="s">
        <v>1654</v>
      </c>
      <c r="CA16" s="723"/>
    </row>
    <row r="17" spans="1:80" s="738" customFormat="1" ht="18" customHeight="1" x14ac:dyDescent="0.2">
      <c r="A17" s="726"/>
      <c r="B17" s="727"/>
      <c r="C17" s="728"/>
      <c r="D17" s="729"/>
      <c r="E17" s="730"/>
      <c r="F17" s="731" t="s">
        <v>2211</v>
      </c>
      <c r="G17" s="732"/>
      <c r="H17" s="733"/>
      <c r="I17" s="737" t="s">
        <v>2212</v>
      </c>
      <c r="J17" s="767"/>
      <c r="K17" s="768"/>
      <c r="L17" s="737" t="s">
        <v>2212</v>
      </c>
      <c r="M17" s="767"/>
      <c r="N17" s="768"/>
      <c r="O17" s="737" t="s">
        <v>2212</v>
      </c>
      <c r="P17" s="767"/>
      <c r="Q17" s="768"/>
      <c r="R17" s="737" t="s">
        <v>2212</v>
      </c>
      <c r="S17" s="767"/>
      <c r="T17" s="768"/>
      <c r="U17" s="737" t="s">
        <v>1283</v>
      </c>
      <c r="V17" s="767"/>
      <c r="W17" s="768"/>
      <c r="X17" s="737" t="s">
        <v>1283</v>
      </c>
      <c r="Y17" s="767"/>
      <c r="Z17" s="768"/>
      <c r="AA17" s="737" t="s">
        <v>2213</v>
      </c>
      <c r="AB17" s="767"/>
      <c r="AC17" s="768"/>
      <c r="AD17" s="737" t="s">
        <v>2213</v>
      </c>
      <c r="AE17" s="767"/>
      <c r="AF17" s="768"/>
      <c r="AG17" s="737" t="s">
        <v>2213</v>
      </c>
      <c r="AH17" s="767"/>
      <c r="AI17" s="768"/>
      <c r="AJ17" s="737" t="s">
        <v>2213</v>
      </c>
      <c r="AK17" s="767"/>
      <c r="AL17" s="768"/>
      <c r="AM17" s="737" t="s">
        <v>1283</v>
      </c>
      <c r="AN17" s="767"/>
      <c r="AO17" s="768"/>
      <c r="AP17" s="737" t="s">
        <v>2213</v>
      </c>
      <c r="AQ17" s="767"/>
      <c r="AR17" s="768"/>
      <c r="AS17" s="737" t="s">
        <v>2212</v>
      </c>
      <c r="AT17" s="767"/>
      <c r="AU17" s="768"/>
      <c r="AV17" s="737" t="s">
        <v>1283</v>
      </c>
      <c r="AW17" s="767"/>
      <c r="AX17" s="768"/>
      <c r="AY17" s="737">
        <v>1E-8</v>
      </c>
      <c r="AZ17" s="767"/>
      <c r="BA17" s="768"/>
      <c r="BB17" s="737">
        <v>1E-8</v>
      </c>
      <c r="BC17" s="767"/>
      <c r="BD17" s="768"/>
      <c r="BE17" s="737">
        <v>1E-8</v>
      </c>
      <c r="BF17" s="767"/>
      <c r="BG17" s="768"/>
      <c r="BH17" s="737">
        <v>1E-8</v>
      </c>
      <c r="BI17" s="767"/>
      <c r="BJ17" s="768"/>
      <c r="BK17" s="737">
        <v>1E-8</v>
      </c>
      <c r="BL17" s="767"/>
      <c r="BM17" s="768"/>
      <c r="BN17" s="737">
        <v>1E-8</v>
      </c>
      <c r="BO17" s="767"/>
      <c r="BP17" s="768"/>
      <c r="BQ17" s="737">
        <v>1E-8</v>
      </c>
      <c r="BR17" s="767"/>
      <c r="BS17" s="768"/>
      <c r="BT17" s="737">
        <v>1E-8</v>
      </c>
      <c r="BU17" s="767"/>
      <c r="BV17" s="768"/>
      <c r="BW17" s="737">
        <v>1E-8</v>
      </c>
      <c r="BX17" s="767"/>
      <c r="BY17" s="768"/>
      <c r="BZ17" s="737">
        <v>1E-8</v>
      </c>
      <c r="CA17" s="767"/>
      <c r="CB17" s="769"/>
    </row>
    <row r="18" spans="1:80" s="738" customFormat="1" ht="18" customHeight="1" thickBot="1" x14ac:dyDescent="0.25">
      <c r="A18" s="729"/>
      <c r="B18" s="730"/>
      <c r="C18" s="763"/>
      <c r="D18" s="729" t="s">
        <v>2131</v>
      </c>
      <c r="E18" s="739"/>
      <c r="F18" s="741" t="s">
        <v>39</v>
      </c>
      <c r="G18" s="770"/>
      <c r="H18" s="733"/>
      <c r="I18" s="743">
        <v>10.199999999999999</v>
      </c>
      <c r="J18" s="744"/>
      <c r="K18" s="745"/>
      <c r="L18" s="743">
        <v>10.3</v>
      </c>
      <c r="M18" s="744"/>
      <c r="N18" s="745"/>
      <c r="O18" s="743">
        <v>10.3</v>
      </c>
      <c r="P18" s="744"/>
      <c r="Q18" s="745"/>
      <c r="R18" s="743">
        <v>10.199999999999999</v>
      </c>
      <c r="S18" s="744"/>
      <c r="T18" s="745"/>
      <c r="U18" s="743">
        <v>10.199999999999999</v>
      </c>
      <c r="V18" s="744"/>
      <c r="W18" s="745"/>
      <c r="X18" s="743">
        <v>10.1</v>
      </c>
      <c r="Y18" s="744"/>
      <c r="Z18" s="745"/>
      <c r="AA18" s="743">
        <v>10.199999999999999</v>
      </c>
      <c r="AB18" s="744"/>
      <c r="AC18" s="745"/>
      <c r="AD18" s="743">
        <v>10.1</v>
      </c>
      <c r="AE18" s="744"/>
      <c r="AF18" s="745"/>
      <c r="AG18" s="743">
        <v>10.1</v>
      </c>
      <c r="AH18" s="744"/>
      <c r="AI18" s="745"/>
      <c r="AJ18" s="743">
        <v>10.1</v>
      </c>
      <c r="AK18" s="744"/>
      <c r="AL18" s="745"/>
      <c r="AM18" s="743">
        <v>10.199999999999999</v>
      </c>
      <c r="AN18" s="744"/>
      <c r="AO18" s="745"/>
      <c r="AP18" s="743">
        <v>10.199999999999999</v>
      </c>
      <c r="AQ18" s="744"/>
      <c r="AR18" s="745"/>
      <c r="AS18" s="743">
        <v>10.199999999999999</v>
      </c>
      <c r="AT18" s="744"/>
      <c r="AU18" s="745"/>
      <c r="AV18" s="743">
        <v>10.199999999999999</v>
      </c>
      <c r="AW18" s="744"/>
      <c r="AX18" s="745"/>
      <c r="AY18" s="743">
        <v>10.1</v>
      </c>
      <c r="AZ18" s="744"/>
      <c r="BA18" s="745"/>
      <c r="BB18" s="743">
        <v>10.1</v>
      </c>
      <c r="BC18" s="744"/>
      <c r="BD18" s="745"/>
      <c r="BE18" s="743">
        <v>10.1</v>
      </c>
      <c r="BF18" s="744"/>
      <c r="BG18" s="745"/>
      <c r="BH18" s="743">
        <v>10.1</v>
      </c>
      <c r="BI18" s="744"/>
      <c r="BJ18" s="745"/>
      <c r="BK18" s="743">
        <v>10.3</v>
      </c>
      <c r="BL18" s="744"/>
      <c r="BM18" s="745"/>
      <c r="BN18" s="743">
        <v>10.199999999999999</v>
      </c>
      <c r="BO18" s="744"/>
      <c r="BP18" s="745"/>
      <c r="BQ18" s="743">
        <v>10.199999999999999</v>
      </c>
      <c r="BR18" s="744"/>
      <c r="BS18" s="745"/>
      <c r="BT18" s="743">
        <v>10.1</v>
      </c>
      <c r="BU18" s="744"/>
      <c r="BV18" s="745"/>
      <c r="BW18" s="743">
        <v>10.3</v>
      </c>
      <c r="BX18" s="744"/>
      <c r="BY18" s="745"/>
      <c r="BZ18" s="743">
        <v>10.199999999999999</v>
      </c>
      <c r="CA18" s="744"/>
      <c r="CB18" s="769"/>
    </row>
    <row r="19" spans="1:80" ht="18" customHeight="1" thickBot="1" x14ac:dyDescent="0.25">
      <c r="A19" s="710"/>
      <c r="B19" s="656"/>
      <c r="C19" s="771"/>
      <c r="D19" s="772" t="s">
        <v>31</v>
      </c>
      <c r="E19" s="773"/>
      <c r="F19" s="773"/>
      <c r="G19" s="774"/>
      <c r="H19" s="775"/>
      <c r="I19" s="776"/>
      <c r="J19" s="777"/>
      <c r="K19" s="775"/>
      <c r="L19" s="776"/>
      <c r="M19" s="777"/>
      <c r="N19" s="775"/>
      <c r="O19" s="776"/>
      <c r="P19" s="777"/>
      <c r="Q19" s="775"/>
      <c r="R19" s="776"/>
      <c r="S19" s="777"/>
      <c r="T19" s="775"/>
      <c r="U19" s="776"/>
      <c r="V19" s="777"/>
      <c r="W19" s="775"/>
      <c r="X19" s="776"/>
      <c r="Y19" s="777"/>
      <c r="Z19" s="775"/>
      <c r="AA19" s="776"/>
      <c r="AB19" s="777"/>
      <c r="AC19" s="778"/>
      <c r="AD19" s="776"/>
      <c r="AE19" s="777"/>
      <c r="AF19" s="775"/>
      <c r="AG19" s="776"/>
      <c r="AH19" s="777"/>
      <c r="AI19" s="775"/>
      <c r="AJ19" s="776"/>
      <c r="AK19" s="777"/>
      <c r="AL19" s="775"/>
      <c r="AM19" s="776"/>
      <c r="AN19" s="777"/>
      <c r="AO19" s="775"/>
      <c r="AP19" s="776"/>
      <c r="AQ19" s="777"/>
      <c r="AR19" s="775"/>
      <c r="AS19" s="776"/>
      <c r="AT19" s="777"/>
      <c r="AU19" s="775"/>
      <c r="AV19" s="776"/>
      <c r="AW19" s="777"/>
      <c r="AX19" s="775"/>
      <c r="AY19" s="776"/>
      <c r="AZ19" s="777"/>
      <c r="BA19" s="775"/>
      <c r="BB19" s="776"/>
      <c r="BC19" s="777"/>
      <c r="BD19" s="778"/>
      <c r="BE19" s="776"/>
      <c r="BF19" s="777"/>
      <c r="BG19" s="775"/>
      <c r="BH19" s="776"/>
      <c r="BI19" s="777"/>
      <c r="BJ19" s="775"/>
      <c r="BK19" s="776"/>
      <c r="BL19" s="777"/>
      <c r="BM19" s="775"/>
      <c r="BN19" s="776"/>
      <c r="BO19" s="777"/>
      <c r="BP19" s="775"/>
      <c r="BQ19" s="776"/>
      <c r="BR19" s="777"/>
      <c r="BS19" s="775"/>
      <c r="BT19" s="776"/>
      <c r="BU19" s="777"/>
      <c r="BV19" s="775"/>
      <c r="BW19" s="776"/>
      <c r="BX19" s="777"/>
      <c r="BY19" s="775"/>
      <c r="BZ19" s="776"/>
      <c r="CA19" s="777"/>
    </row>
    <row r="20" spans="1:80" x14ac:dyDescent="0.2">
      <c r="A20" s="701"/>
      <c r="B20" s="702"/>
      <c r="C20" s="702"/>
      <c r="D20" s="701"/>
      <c r="E20" s="702"/>
      <c r="F20" s="779" t="s">
        <v>2211</v>
      </c>
      <c r="G20" s="780"/>
      <c r="H20" s="781">
        <v>73.022874208505954</v>
      </c>
      <c r="I20" s="782">
        <v>15.08</v>
      </c>
      <c r="J20" s="783">
        <v>2.16</v>
      </c>
      <c r="K20" s="781">
        <v>72.54688486969431</v>
      </c>
      <c r="L20" s="782">
        <v>14.984</v>
      </c>
      <c r="M20" s="783">
        <v>2.1280000000000001</v>
      </c>
      <c r="N20" s="781">
        <v>72.578703255937967</v>
      </c>
      <c r="O20" s="782">
        <v>14.992000000000001</v>
      </c>
      <c r="P20" s="783">
        <v>2.12</v>
      </c>
      <c r="Q20" s="781">
        <v>74.509088243022092</v>
      </c>
      <c r="R20" s="782">
        <v>15.391999999999999</v>
      </c>
      <c r="S20" s="783">
        <v>2.1680000000000001</v>
      </c>
      <c r="T20" s="781">
        <v>82.930504390203723</v>
      </c>
      <c r="U20" s="782">
        <v>17.055999999999997</v>
      </c>
      <c r="V20" s="783">
        <v>2.3360000000000003</v>
      </c>
      <c r="W20" s="781">
        <v>92.105971577646272</v>
      </c>
      <c r="X20" s="782">
        <v>18.936</v>
      </c>
      <c r="Y20" s="783">
        <v>2.6479999999999997</v>
      </c>
      <c r="Z20" s="781">
        <v>98.753353635441471</v>
      </c>
      <c r="AA20" s="782">
        <v>20.136000000000003</v>
      </c>
      <c r="AB20" s="783">
        <v>3.1440000000000001</v>
      </c>
      <c r="AC20" s="781">
        <v>97.071411213945538</v>
      </c>
      <c r="AD20" s="782">
        <v>19.816000000000003</v>
      </c>
      <c r="AE20" s="783">
        <v>2.944</v>
      </c>
      <c r="AF20" s="781">
        <v>98.857397270077911</v>
      </c>
      <c r="AG20" s="782">
        <v>20.176000000000002</v>
      </c>
      <c r="AH20" s="783">
        <v>3.032</v>
      </c>
      <c r="AI20" s="781">
        <v>99.596835001016018</v>
      </c>
      <c r="AJ20" s="782">
        <v>20.328000000000003</v>
      </c>
      <c r="AK20" s="783">
        <v>3.048</v>
      </c>
      <c r="AL20" s="781">
        <v>96.78993481832066</v>
      </c>
      <c r="AM20" s="782">
        <v>19.896000000000001</v>
      </c>
      <c r="AN20" s="783">
        <v>2.8079999999999998</v>
      </c>
      <c r="AO20" s="781">
        <v>95.899210880526965</v>
      </c>
      <c r="AP20" s="782">
        <v>19.752000000000002</v>
      </c>
      <c r="AQ20" s="783">
        <v>2.92</v>
      </c>
      <c r="AR20" s="781">
        <v>97.424868896640106</v>
      </c>
      <c r="AS20" s="782">
        <v>20.096</v>
      </c>
      <c r="AT20" s="783">
        <v>3.048</v>
      </c>
      <c r="AU20" s="781">
        <v>102.50356048875028</v>
      </c>
      <c r="AV20" s="782">
        <v>20.984000000000002</v>
      </c>
      <c r="AW20" s="783">
        <v>3.528</v>
      </c>
      <c r="AX20" s="781">
        <v>106.19842761866056</v>
      </c>
      <c r="AY20" s="782">
        <v>21.631999999999998</v>
      </c>
      <c r="AZ20" s="783">
        <v>3.528</v>
      </c>
      <c r="BA20" s="781">
        <v>104.66912584477123</v>
      </c>
      <c r="BB20" s="782">
        <v>21.344000000000001</v>
      </c>
      <c r="BC20" s="783">
        <v>3.3280000000000003</v>
      </c>
      <c r="BD20" s="781">
        <v>103.59015321494127</v>
      </c>
      <c r="BE20" s="782">
        <v>21.167999999999999</v>
      </c>
      <c r="BF20" s="783">
        <v>3</v>
      </c>
      <c r="BG20" s="781">
        <v>101.96754242227389</v>
      </c>
      <c r="BH20" s="782">
        <v>20.856000000000002</v>
      </c>
      <c r="BI20" s="783">
        <v>2.8079999999999998</v>
      </c>
      <c r="BJ20" s="781">
        <v>98.205066551920893</v>
      </c>
      <c r="BK20" s="782">
        <v>20.224</v>
      </c>
      <c r="BL20" s="783">
        <v>2.5680000000000001</v>
      </c>
      <c r="BM20" s="781">
        <v>96.090996262980269</v>
      </c>
      <c r="BN20" s="782">
        <v>19.799999999999997</v>
      </c>
      <c r="BO20" s="783">
        <v>2.4240000000000004</v>
      </c>
      <c r="BP20" s="781">
        <v>91.069395601478732</v>
      </c>
      <c r="BQ20" s="782">
        <v>18.856000000000002</v>
      </c>
      <c r="BR20" s="783">
        <v>2.3360000000000003</v>
      </c>
      <c r="BS20" s="781">
        <v>85.177682548551346</v>
      </c>
      <c r="BT20" s="782">
        <v>17.624000000000002</v>
      </c>
      <c r="BU20" s="783">
        <v>2.2800000000000002</v>
      </c>
      <c r="BV20" s="781">
        <v>78.959898949976889</v>
      </c>
      <c r="BW20" s="782">
        <v>16.32</v>
      </c>
      <c r="BX20" s="783">
        <v>2.2400000000000002</v>
      </c>
      <c r="BY20" s="781">
        <v>74.966818598895102</v>
      </c>
      <c r="BZ20" s="782">
        <v>15.576000000000001</v>
      </c>
      <c r="CA20" s="783">
        <v>2.2000000000000002</v>
      </c>
    </row>
    <row r="21" spans="1:80" ht="13.5" thickBot="1" x14ac:dyDescent="0.25">
      <c r="A21" s="784"/>
      <c r="B21" s="785" t="s">
        <v>19</v>
      </c>
      <c r="C21" s="785"/>
      <c r="D21" s="784"/>
      <c r="E21" s="785"/>
      <c r="F21" s="786" t="s">
        <v>39</v>
      </c>
      <c r="G21" s="787"/>
      <c r="H21" s="788">
        <v>859.03971523548933</v>
      </c>
      <c r="I21" s="789">
        <v>15.08</v>
      </c>
      <c r="J21" s="790">
        <v>2.16</v>
      </c>
      <c r="K21" s="788">
        <v>853.75407111418849</v>
      </c>
      <c r="L21" s="789">
        <v>14.984</v>
      </c>
      <c r="M21" s="790">
        <v>2.1280000000000001</v>
      </c>
      <c r="N21" s="788">
        <v>849.80501093845783</v>
      </c>
      <c r="O21" s="789">
        <v>14.992000000000001</v>
      </c>
      <c r="P21" s="790">
        <v>2.12</v>
      </c>
      <c r="Q21" s="788">
        <v>880.96039628514359</v>
      </c>
      <c r="R21" s="789">
        <v>15.391999999999999</v>
      </c>
      <c r="S21" s="790">
        <v>2.1680000000000001</v>
      </c>
      <c r="T21" s="788">
        <v>970.63391696733402</v>
      </c>
      <c r="U21" s="789">
        <v>17.055999999999997</v>
      </c>
      <c r="V21" s="790">
        <v>2.3360000000000003</v>
      </c>
      <c r="W21" s="788">
        <v>1088.5509415096883</v>
      </c>
      <c r="X21" s="789">
        <v>18.936</v>
      </c>
      <c r="Y21" s="790">
        <v>2.6479999999999997</v>
      </c>
      <c r="Z21" s="788">
        <v>1155.026969481193</v>
      </c>
      <c r="AA21" s="789">
        <v>20.136000000000003</v>
      </c>
      <c r="AB21" s="790">
        <v>3.1440000000000001</v>
      </c>
      <c r="AC21" s="788">
        <v>1146.595976022149</v>
      </c>
      <c r="AD21" s="789">
        <v>19.816000000000003</v>
      </c>
      <c r="AE21" s="790">
        <v>2.944</v>
      </c>
      <c r="AF21" s="788">
        <v>1167.6918311208212</v>
      </c>
      <c r="AG21" s="789">
        <v>20.176000000000002</v>
      </c>
      <c r="AH21" s="790">
        <v>3.032</v>
      </c>
      <c r="AI21" s="788">
        <v>628.63567493711912</v>
      </c>
      <c r="AJ21" s="789">
        <v>20.328000000000003</v>
      </c>
      <c r="AK21" s="790">
        <v>3.048</v>
      </c>
      <c r="AL21" s="788">
        <v>618.85912370167637</v>
      </c>
      <c r="AM21" s="789">
        <v>19.896000000000001</v>
      </c>
      <c r="AN21" s="790">
        <v>2.8079999999999998</v>
      </c>
      <c r="AO21" s="788">
        <v>1131.5732448669742</v>
      </c>
      <c r="AP21" s="789">
        <v>19.752000000000002</v>
      </c>
      <c r="AQ21" s="790">
        <v>2.92</v>
      </c>
      <c r="AR21" s="788">
        <v>1158.0013383227399</v>
      </c>
      <c r="AS21" s="789">
        <v>20.096</v>
      </c>
      <c r="AT21" s="790">
        <v>3.048</v>
      </c>
      <c r="AU21" s="788">
        <v>1212.3122736895155</v>
      </c>
      <c r="AV21" s="789">
        <v>20.984000000000002</v>
      </c>
      <c r="AW21" s="790">
        <v>3.528</v>
      </c>
      <c r="AX21" s="788">
        <v>1254.4032093966539</v>
      </c>
      <c r="AY21" s="789">
        <v>21.631999999999998</v>
      </c>
      <c r="AZ21" s="790">
        <v>3.528</v>
      </c>
      <c r="BA21" s="788">
        <v>1229.8534846318587</v>
      </c>
      <c r="BB21" s="789">
        <v>21.344000000000001</v>
      </c>
      <c r="BC21" s="790">
        <v>3.3280000000000003</v>
      </c>
      <c r="BD21" s="788">
        <v>1223.5945820339102</v>
      </c>
      <c r="BE21" s="789">
        <v>21.167999999999999</v>
      </c>
      <c r="BF21" s="790">
        <v>3</v>
      </c>
      <c r="BG21" s="788">
        <v>1204.4284961363637</v>
      </c>
      <c r="BH21" s="789">
        <v>20.856000000000002</v>
      </c>
      <c r="BI21" s="790">
        <v>2.8079999999999998</v>
      </c>
      <c r="BJ21" s="788">
        <v>1156.17786458095</v>
      </c>
      <c r="BK21" s="789">
        <v>20.224</v>
      </c>
      <c r="BL21" s="790">
        <v>2.5680000000000001</v>
      </c>
      <c r="BM21" s="788">
        <v>1130.4823089762385</v>
      </c>
      <c r="BN21" s="789">
        <v>19.799999999999997</v>
      </c>
      <c r="BO21" s="790">
        <v>2.4240000000000004</v>
      </c>
      <c r="BP21" s="788">
        <v>1076.7616774057192</v>
      </c>
      <c r="BQ21" s="789">
        <v>18.856000000000002</v>
      </c>
      <c r="BR21" s="790">
        <v>2.3360000000000003</v>
      </c>
      <c r="BS21" s="788">
        <v>1011.8126912831954</v>
      </c>
      <c r="BT21" s="789">
        <v>17.624000000000002</v>
      </c>
      <c r="BU21" s="790">
        <v>2.2800000000000002</v>
      </c>
      <c r="BV21" s="788">
        <v>929.29955610102024</v>
      </c>
      <c r="BW21" s="789">
        <v>16.32</v>
      </c>
      <c r="BX21" s="790">
        <v>2.2400000000000002</v>
      </c>
      <c r="BY21" s="788">
        <v>891.51716627901737</v>
      </c>
      <c r="BZ21" s="789">
        <v>15.576000000000001</v>
      </c>
      <c r="CA21" s="790">
        <v>2.2000000000000002</v>
      </c>
    </row>
    <row r="22" spans="1:80" x14ac:dyDescent="0.2">
      <c r="A22" s="791"/>
      <c r="B22" s="702"/>
      <c r="C22" s="792"/>
      <c r="D22" s="791"/>
      <c r="E22" s="1345"/>
      <c r="F22" s="1345"/>
      <c r="G22" s="703"/>
      <c r="H22" s="702"/>
      <c r="I22" s="702"/>
      <c r="J22" s="702"/>
      <c r="K22" s="702"/>
      <c r="L22" s="702"/>
      <c r="M22" s="702"/>
      <c r="N22" s="702"/>
      <c r="O22" s="702"/>
      <c r="P22" s="702"/>
      <c r="Q22" s="702"/>
      <c r="R22" s="702"/>
      <c r="S22" s="702"/>
      <c r="T22" s="702"/>
      <c r="U22" s="702"/>
      <c r="V22" s="702"/>
      <c r="W22" s="702"/>
      <c r="X22" s="702"/>
      <c r="Y22" s="702"/>
      <c r="Z22" s="702"/>
      <c r="AA22" s="702"/>
      <c r="AB22" s="703"/>
      <c r="AC22" s="701"/>
      <c r="AD22" s="702"/>
      <c r="AE22" s="702"/>
      <c r="AF22" s="702"/>
      <c r="AG22" s="702"/>
      <c r="AH22" s="702"/>
      <c r="AI22" s="702"/>
      <c r="AJ22" s="702"/>
      <c r="AK22" s="702"/>
      <c r="AL22" s="702"/>
      <c r="AM22" s="702"/>
      <c r="AN22" s="702"/>
      <c r="AO22" s="702"/>
      <c r="AP22" s="702"/>
      <c r="AQ22" s="702"/>
      <c r="AR22" s="702"/>
      <c r="AS22" s="702"/>
      <c r="AT22" s="702"/>
      <c r="AU22" s="702"/>
      <c r="AV22" s="702"/>
      <c r="AW22" s="702"/>
      <c r="AX22" s="702"/>
      <c r="AY22" s="702"/>
      <c r="AZ22" s="702"/>
      <c r="BA22" s="702"/>
      <c r="BB22" s="702"/>
      <c r="BC22" s="703"/>
      <c r="BD22" s="701"/>
      <c r="BE22" s="702"/>
      <c r="BF22" s="702"/>
      <c r="BG22" s="702"/>
      <c r="BH22" s="702"/>
      <c r="BI22" s="702"/>
      <c r="BJ22" s="702"/>
      <c r="BK22" s="702"/>
      <c r="BL22" s="702"/>
      <c r="BM22" s="702"/>
      <c r="BN22" s="702"/>
      <c r="BO22" s="702"/>
      <c r="BP22" s="702"/>
      <c r="BQ22" s="702"/>
      <c r="BR22" s="702"/>
      <c r="BS22" s="702"/>
      <c r="BT22" s="702"/>
      <c r="BU22" s="702"/>
      <c r="BV22" s="702"/>
      <c r="BW22" s="702"/>
      <c r="BX22" s="702"/>
      <c r="BY22" s="702"/>
      <c r="BZ22" s="702"/>
      <c r="CA22" s="703"/>
    </row>
    <row r="23" spans="1:80" x14ac:dyDescent="0.2">
      <c r="A23" s="793" t="s">
        <v>2136</v>
      </c>
      <c r="B23" s="656"/>
      <c r="C23" s="794">
        <f>(I21+L21+O21+R21+U21+X21+AA21+AD21+AG21+AJ21+AM21+AP21+AS21+AV21+AY21+BB21+BE21+BH21+BK21+BN21+BQ21+BT21+BW21+BZ21)/SQRT((I21+L21+O21+R21+U21+X21+AA21+AD21+AG21+AJ21+AM21+AP21+AS21+AV21+AY21+BB21+BE21+BH21+BK21+BN21+BQ21+BT21+BW21+BZ21)^2+(J21+M21+P21+S21+V21+Y21+AB21+AE21+AH21+AK21+AN21+AQ21+AT21+AW21+AZ21+BC21+BF21++BI21+BL21+BO21+BR21+BU21+BX21+CA21)^2)</f>
        <v>0.98985340259705779</v>
      </c>
      <c r="D23" s="793" t="s">
        <v>2137</v>
      </c>
      <c r="E23" s="1338">
        <f>(CA21+BX21+BU21+BR21+BO21+BL21+BI21+BF21+BC21+AZ21+AW21+AT21+AQ21+AN21+AK21+AH21+AE21+AB21++Y21+V21+S21+P21+M21+J21)/(I21+L21+O21+R21+U21+X21+AA21+AD21+AG21+AJ21+AM21+AP21+AS21+AV21+AY21+BB21+BE21+BH21+BK21+BN21+BQ21+BT21+BW21+BZ21)</f>
        <v>0.14354890205399271</v>
      </c>
      <c r="F23" s="1338"/>
      <c r="G23" s="709"/>
      <c r="H23" s="656"/>
      <c r="I23" s="656"/>
      <c r="J23" s="656"/>
      <c r="K23" s="656"/>
      <c r="L23" s="656"/>
      <c r="M23" s="656"/>
      <c r="N23" s="656"/>
      <c r="O23" s="656"/>
      <c r="P23" s="656"/>
      <c r="Q23" s="656"/>
      <c r="R23" s="656"/>
      <c r="S23" s="656"/>
      <c r="T23" s="656"/>
      <c r="U23" s="656"/>
      <c r="V23" s="656"/>
      <c r="W23" s="656"/>
      <c r="X23" s="656"/>
      <c r="Y23" s="656"/>
      <c r="Z23" s="656"/>
      <c r="AA23" s="656"/>
      <c r="AB23" s="709"/>
      <c r="AC23" s="710"/>
      <c r="AD23" s="656"/>
      <c r="AE23" s="656"/>
      <c r="AF23" s="656"/>
      <c r="AG23" s="656"/>
      <c r="AH23" s="656"/>
      <c r="AI23" s="656"/>
      <c r="AJ23" s="656"/>
      <c r="AK23" s="656"/>
      <c r="AL23" s="656"/>
      <c r="AM23" s="656"/>
      <c r="AN23" s="656"/>
      <c r="AO23" s="656"/>
      <c r="AP23" s="656"/>
      <c r="AQ23" s="656"/>
      <c r="AR23" s="656"/>
      <c r="AS23" s="656"/>
      <c r="AT23" s="656"/>
      <c r="AU23" s="656"/>
      <c r="AV23" s="656"/>
      <c r="AW23" s="656"/>
      <c r="AX23" s="656"/>
      <c r="AY23" s="656"/>
      <c r="AZ23" s="656"/>
      <c r="BA23" s="656"/>
      <c r="BB23" s="656"/>
      <c r="BC23" s="709"/>
      <c r="BD23" s="710"/>
      <c r="BE23" s="656"/>
      <c r="BF23" s="656"/>
      <c r="BG23" s="656"/>
      <c r="BH23" s="656"/>
      <c r="BI23" s="656"/>
      <c r="BJ23" s="656"/>
      <c r="BK23" s="656"/>
      <c r="BL23" s="656"/>
      <c r="BM23" s="656"/>
      <c r="BN23" s="656"/>
      <c r="BO23" s="656"/>
      <c r="BP23" s="656"/>
      <c r="BQ23" s="656"/>
      <c r="BR23" s="656"/>
      <c r="BS23" s="656"/>
      <c r="BT23" s="656"/>
      <c r="BU23" s="656"/>
      <c r="BV23" s="656"/>
      <c r="BW23" s="656"/>
      <c r="BX23" s="656"/>
      <c r="BY23" s="656"/>
      <c r="BZ23" s="656"/>
      <c r="CA23" s="709"/>
    </row>
    <row r="24" spans="1:80" ht="13.5" thickBot="1" x14ac:dyDescent="0.25">
      <c r="A24" s="793"/>
      <c r="B24" s="785"/>
      <c r="C24" s="794"/>
      <c r="D24" s="795"/>
      <c r="E24" s="656"/>
      <c r="F24" s="656"/>
      <c r="G24" s="796"/>
      <c r="H24" s="785"/>
      <c r="I24" s="785"/>
      <c r="J24" s="785"/>
      <c r="K24" s="785"/>
      <c r="L24" s="785"/>
      <c r="M24" s="785"/>
      <c r="N24" s="785"/>
      <c r="O24" s="785"/>
      <c r="P24" s="785"/>
      <c r="Q24" s="785"/>
      <c r="R24" s="785"/>
      <c r="S24" s="785"/>
      <c r="T24" s="785"/>
      <c r="U24" s="785"/>
      <c r="V24" s="785"/>
      <c r="W24" s="785"/>
      <c r="X24" s="785"/>
      <c r="Y24" s="785"/>
      <c r="Z24" s="785"/>
      <c r="AA24" s="785"/>
      <c r="AB24" s="796"/>
      <c r="AC24" s="784"/>
      <c r="AD24" s="785"/>
      <c r="AE24" s="785"/>
      <c r="AF24" s="785"/>
      <c r="AG24" s="785"/>
      <c r="AH24" s="785"/>
      <c r="AI24" s="785"/>
      <c r="AJ24" s="785"/>
      <c r="AK24" s="785"/>
      <c r="AL24" s="785"/>
      <c r="AM24" s="785"/>
      <c r="AN24" s="785"/>
      <c r="AO24" s="785"/>
      <c r="AP24" s="785"/>
      <c r="AQ24" s="785"/>
      <c r="AR24" s="785"/>
      <c r="AS24" s="785"/>
      <c r="AT24" s="785"/>
      <c r="AU24" s="785"/>
      <c r="AV24" s="785"/>
      <c r="AW24" s="785"/>
      <c r="AX24" s="785"/>
      <c r="AY24" s="785"/>
      <c r="AZ24" s="785"/>
      <c r="BA24" s="785"/>
      <c r="BB24" s="785"/>
      <c r="BC24" s="796"/>
      <c r="BD24" s="784"/>
      <c r="BE24" s="785"/>
      <c r="BF24" s="785"/>
      <c r="BG24" s="785"/>
      <c r="BH24" s="785"/>
      <c r="BI24" s="785"/>
      <c r="BJ24" s="785"/>
      <c r="BK24" s="785"/>
      <c r="BL24" s="785"/>
      <c r="BM24" s="785"/>
      <c r="BN24" s="785"/>
      <c r="BO24" s="785"/>
      <c r="BP24" s="785"/>
      <c r="BQ24" s="785"/>
      <c r="BR24" s="785"/>
      <c r="BS24" s="785"/>
      <c r="BT24" s="785"/>
      <c r="BU24" s="785"/>
      <c r="BV24" s="785"/>
      <c r="BW24" s="785"/>
      <c r="BX24" s="785"/>
      <c r="BY24" s="785"/>
      <c r="BZ24" s="785"/>
      <c r="CA24" s="796"/>
    </row>
    <row r="25" spans="1:80" x14ac:dyDescent="0.2">
      <c r="A25" s="698" t="s">
        <v>2138</v>
      </c>
      <c r="B25" s="797"/>
      <c r="C25" s="798"/>
      <c r="D25" s="799" t="s">
        <v>22</v>
      </c>
      <c r="E25" s="800"/>
      <c r="F25" s="799" t="s">
        <v>23</v>
      </c>
      <c r="G25" s="801"/>
      <c r="H25" s="802"/>
      <c r="I25" s="803"/>
      <c r="J25" s="803"/>
      <c r="K25" s="802"/>
      <c r="L25" s="803"/>
      <c r="M25" s="803"/>
      <c r="N25" s="802"/>
      <c r="O25" s="803"/>
      <c r="P25" s="803"/>
      <c r="Q25" s="802"/>
      <c r="R25" s="803"/>
      <c r="S25" s="803"/>
      <c r="T25" s="802"/>
      <c r="U25" s="803"/>
      <c r="V25" s="803"/>
      <c r="W25" s="802"/>
      <c r="X25" s="803"/>
      <c r="Y25" s="803"/>
      <c r="Z25" s="802"/>
      <c r="AA25" s="803"/>
      <c r="AB25" s="804"/>
      <c r="AC25" s="805"/>
      <c r="AD25" s="803"/>
      <c r="AE25" s="803"/>
      <c r="AF25" s="802"/>
      <c r="AG25" s="803"/>
      <c r="AH25" s="803"/>
      <c r="AI25" s="802"/>
      <c r="AJ25" s="803"/>
      <c r="AK25" s="803"/>
      <c r="AL25" s="802"/>
      <c r="AM25" s="803"/>
      <c r="AN25" s="803"/>
      <c r="AO25" s="802"/>
      <c r="AP25" s="803"/>
      <c r="AQ25" s="803"/>
      <c r="AR25" s="802"/>
      <c r="AS25" s="803"/>
      <c r="AT25" s="803"/>
      <c r="AU25" s="802"/>
      <c r="AV25" s="803"/>
      <c r="AW25" s="803"/>
      <c r="AX25" s="802"/>
      <c r="AY25" s="803"/>
      <c r="AZ25" s="803"/>
      <c r="BA25" s="802"/>
      <c r="BB25" s="803"/>
      <c r="BC25" s="804"/>
      <c r="BD25" s="805"/>
      <c r="BE25" s="803"/>
      <c r="BF25" s="803"/>
      <c r="BG25" s="802"/>
      <c r="BH25" s="803"/>
      <c r="BI25" s="803"/>
      <c r="BJ25" s="802"/>
      <c r="BK25" s="803"/>
      <c r="BL25" s="803"/>
      <c r="BM25" s="802"/>
      <c r="BN25" s="803"/>
      <c r="BO25" s="803"/>
      <c r="BP25" s="802"/>
      <c r="BQ25" s="803"/>
      <c r="BR25" s="803"/>
      <c r="BS25" s="802"/>
      <c r="BT25" s="803"/>
      <c r="BU25" s="803"/>
      <c r="BV25" s="802"/>
      <c r="BW25" s="803"/>
      <c r="BX25" s="803"/>
      <c r="BY25" s="802"/>
      <c r="BZ25" s="803"/>
      <c r="CA25" s="804"/>
    </row>
    <row r="26" spans="1:80" ht="13.5" thickBot="1" x14ac:dyDescent="0.25">
      <c r="A26" s="784"/>
      <c r="B26" s="806" t="s">
        <v>2139</v>
      </c>
      <c r="C26" s="807"/>
      <c r="D26" s="808" t="s">
        <v>24</v>
      </c>
      <c r="E26" s="809" t="s">
        <v>25</v>
      </c>
      <c r="F26" s="809" t="s">
        <v>24</v>
      </c>
      <c r="G26" s="810" t="s">
        <v>25</v>
      </c>
      <c r="H26" s="802"/>
      <c r="I26" s="803"/>
      <c r="J26" s="803"/>
      <c r="K26" s="802"/>
      <c r="L26" s="803"/>
      <c r="M26" s="803"/>
      <c r="N26" s="802"/>
      <c r="O26" s="803"/>
      <c r="P26" s="803"/>
      <c r="Q26" s="802"/>
      <c r="R26" s="803"/>
      <c r="S26" s="803"/>
      <c r="T26" s="802"/>
      <c r="U26" s="803"/>
      <c r="V26" s="803"/>
      <c r="W26" s="802"/>
      <c r="X26" s="803"/>
      <c r="Y26" s="803"/>
      <c r="Z26" s="802"/>
      <c r="AA26" s="803"/>
      <c r="AB26" s="804"/>
      <c r="AC26" s="805"/>
      <c r="AD26" s="803"/>
      <c r="AE26" s="803"/>
      <c r="AF26" s="802"/>
      <c r="AG26" s="803"/>
      <c r="AH26" s="803"/>
      <c r="AI26" s="802"/>
      <c r="AJ26" s="803"/>
      <c r="AK26" s="803"/>
      <c r="AL26" s="802"/>
      <c r="AM26" s="803"/>
      <c r="AN26" s="803"/>
      <c r="AO26" s="802"/>
      <c r="AP26" s="803"/>
      <c r="AQ26" s="803"/>
      <c r="AR26" s="802"/>
      <c r="AS26" s="803"/>
      <c r="AT26" s="803"/>
      <c r="AU26" s="802"/>
      <c r="AV26" s="803"/>
      <c r="AW26" s="803"/>
      <c r="AX26" s="802"/>
      <c r="AY26" s="803"/>
      <c r="AZ26" s="803"/>
      <c r="BA26" s="802"/>
      <c r="BB26" s="803"/>
      <c r="BC26" s="804"/>
      <c r="BD26" s="805"/>
      <c r="BE26" s="803"/>
      <c r="BF26" s="803"/>
      <c r="BG26" s="802"/>
      <c r="BH26" s="803"/>
      <c r="BI26" s="803"/>
      <c r="BJ26" s="802"/>
      <c r="BK26" s="803"/>
      <c r="BL26" s="803"/>
      <c r="BM26" s="802"/>
      <c r="BN26" s="803"/>
      <c r="BO26" s="803"/>
      <c r="BP26" s="802"/>
      <c r="BQ26" s="803"/>
      <c r="BR26" s="803"/>
      <c r="BS26" s="802"/>
      <c r="BT26" s="803"/>
      <c r="BU26" s="803"/>
      <c r="BV26" s="802"/>
      <c r="BW26" s="803"/>
      <c r="BX26" s="803"/>
      <c r="BY26" s="802"/>
      <c r="BZ26" s="803"/>
      <c r="CA26" s="804"/>
    </row>
    <row r="27" spans="1:80" x14ac:dyDescent="0.2">
      <c r="A27" s="811">
        <v>1</v>
      </c>
      <c r="B27" s="812" t="s">
        <v>2214</v>
      </c>
      <c r="C27" s="813"/>
      <c r="D27" s="814"/>
      <c r="E27" s="815"/>
      <c r="F27" s="816"/>
      <c r="G27" s="817"/>
      <c r="H27" s="818">
        <v>133.32968980135158</v>
      </c>
      <c r="I27" s="819">
        <v>2.3344</v>
      </c>
      <c r="J27" s="820">
        <v>0.44159999999999999</v>
      </c>
      <c r="K27" s="818">
        <v>134.74817787630838</v>
      </c>
      <c r="L27" s="819">
        <v>2.3376000000000001</v>
      </c>
      <c r="M27" s="820">
        <v>0.43519999999999998</v>
      </c>
      <c r="N27" s="818">
        <v>135.75195070731911</v>
      </c>
      <c r="O27" s="819">
        <v>2.3792</v>
      </c>
      <c r="P27" s="820">
        <v>0.43680000000000002</v>
      </c>
      <c r="Q27" s="818">
        <v>140.4182805280735</v>
      </c>
      <c r="R27" s="819">
        <v>2.4352</v>
      </c>
      <c r="S27" s="820">
        <v>0.45760000000000001</v>
      </c>
      <c r="T27" s="818">
        <v>148.12859691664269</v>
      </c>
      <c r="U27" s="819">
        <v>2.5983999999999998</v>
      </c>
      <c r="V27" s="820">
        <v>0.46400000000000002</v>
      </c>
      <c r="W27" s="818">
        <v>159.50089595094951</v>
      </c>
      <c r="X27" s="819">
        <v>2.7664</v>
      </c>
      <c r="Y27" s="820">
        <v>0.51839999999999997</v>
      </c>
      <c r="Z27" s="818">
        <v>171.33489725215378</v>
      </c>
      <c r="AA27" s="819">
        <v>2.968</v>
      </c>
      <c r="AB27" s="820">
        <v>0.57599999999999996</v>
      </c>
      <c r="AC27" s="821">
        <v>174.75685562200172</v>
      </c>
      <c r="AD27" s="819">
        <v>3.0064000000000002</v>
      </c>
      <c r="AE27" s="820">
        <v>0.53439999999999999</v>
      </c>
      <c r="AF27" s="818">
        <v>173.01558073039678</v>
      </c>
      <c r="AG27" s="819">
        <v>2.9824000000000002</v>
      </c>
      <c r="AH27" s="820">
        <v>0.49440000000000001</v>
      </c>
      <c r="AI27" s="818">
        <v>178.29581073094286</v>
      </c>
      <c r="AJ27" s="819">
        <v>3.1023999999999998</v>
      </c>
      <c r="AK27" s="820">
        <v>0.5232</v>
      </c>
      <c r="AL27" s="818">
        <v>173.1733809809798</v>
      </c>
      <c r="AM27" s="819">
        <v>2.96</v>
      </c>
      <c r="AN27" s="820">
        <v>0.46239999999999998</v>
      </c>
      <c r="AO27" s="818">
        <v>167.89110393457432</v>
      </c>
      <c r="AP27" s="819">
        <v>2.9232</v>
      </c>
      <c r="AQ27" s="820">
        <v>0.48159999999999997</v>
      </c>
      <c r="AR27" s="818">
        <v>178.82644689671696</v>
      </c>
      <c r="AS27" s="819">
        <v>3.0815999999999999</v>
      </c>
      <c r="AT27" s="820">
        <v>0.51680000000000004</v>
      </c>
      <c r="AU27" s="818">
        <v>187.95603538555363</v>
      </c>
      <c r="AV27" s="819">
        <v>3.2160000000000002</v>
      </c>
      <c r="AW27" s="820">
        <v>0.66559999999999997</v>
      </c>
      <c r="AX27" s="818">
        <v>189.53875250987829</v>
      </c>
      <c r="AY27" s="819">
        <v>3.2528000000000001</v>
      </c>
      <c r="AZ27" s="820">
        <v>0.62239999999999995</v>
      </c>
      <c r="BA27" s="818">
        <v>185.13594581561694</v>
      </c>
      <c r="BB27" s="819">
        <v>3.2080000000000002</v>
      </c>
      <c r="BC27" s="820">
        <v>0.61760000000000004</v>
      </c>
      <c r="BD27" s="821">
        <v>176.85808156527031</v>
      </c>
      <c r="BE27" s="819">
        <v>3.0448</v>
      </c>
      <c r="BF27" s="820">
        <v>0.52800000000000002</v>
      </c>
      <c r="BG27" s="818">
        <v>172.94100270021045</v>
      </c>
      <c r="BH27" s="819">
        <v>2.9792000000000001</v>
      </c>
      <c r="BI27" s="820">
        <v>0.50560000000000005</v>
      </c>
      <c r="BJ27" s="818">
        <v>166.07650976297026</v>
      </c>
      <c r="BK27" s="819">
        <v>2.8607999999999998</v>
      </c>
      <c r="BL27" s="820">
        <v>0.4864</v>
      </c>
      <c r="BM27" s="818">
        <v>160.66178842897361</v>
      </c>
      <c r="BN27" s="819">
        <v>2.7951999999999999</v>
      </c>
      <c r="BO27" s="820">
        <v>0.47360000000000002</v>
      </c>
      <c r="BP27" s="818">
        <v>154.13524794041601</v>
      </c>
      <c r="BQ27" s="819">
        <v>2.68</v>
      </c>
      <c r="BR27" s="820">
        <v>0.46400000000000002</v>
      </c>
      <c r="BS27" s="818">
        <v>145.47406397089779</v>
      </c>
      <c r="BT27" s="819">
        <v>2.5295999999999998</v>
      </c>
      <c r="BU27" s="820">
        <v>0.43680000000000002</v>
      </c>
      <c r="BV27" s="818">
        <v>141.58376196799784</v>
      </c>
      <c r="BW27" s="819">
        <v>2.4575999999999998</v>
      </c>
      <c r="BX27" s="820">
        <v>0.4496</v>
      </c>
      <c r="BY27" s="818">
        <v>137.39086337149956</v>
      </c>
      <c r="BZ27" s="819">
        <v>2.3856000000000002</v>
      </c>
      <c r="CA27" s="820">
        <v>0.432</v>
      </c>
    </row>
    <row r="28" spans="1:80" x14ac:dyDescent="0.2">
      <c r="A28" s="822">
        <v>2</v>
      </c>
      <c r="B28" s="823" t="s">
        <v>2215</v>
      </c>
      <c r="C28" s="824"/>
      <c r="D28" s="825"/>
      <c r="E28" s="826"/>
      <c r="F28" s="827"/>
      <c r="G28" s="828"/>
      <c r="H28" s="829">
        <v>206.33937637511494</v>
      </c>
      <c r="I28" s="830">
        <v>3.6128</v>
      </c>
      <c r="J28" s="831">
        <v>0.45279999999999998</v>
      </c>
      <c r="K28" s="829">
        <v>204.52625644956072</v>
      </c>
      <c r="L28" s="830">
        <v>3.6175999999999999</v>
      </c>
      <c r="M28" s="831">
        <v>0.44159999999999999</v>
      </c>
      <c r="N28" s="829">
        <v>205.02866710995232</v>
      </c>
      <c r="O28" s="830">
        <v>3.6272000000000002</v>
      </c>
      <c r="P28" s="831">
        <v>0.43680000000000002</v>
      </c>
      <c r="Q28" s="829">
        <v>211.11957952225677</v>
      </c>
      <c r="R28" s="830">
        <v>3.6976</v>
      </c>
      <c r="S28" s="831">
        <v>0.45440000000000003</v>
      </c>
      <c r="T28" s="829">
        <v>224.0192352379083</v>
      </c>
      <c r="U28" s="830">
        <v>3.9216000000000002</v>
      </c>
      <c r="V28" s="831">
        <v>0.49759999999999999</v>
      </c>
      <c r="W28" s="829">
        <v>229.37443361612588</v>
      </c>
      <c r="X28" s="830">
        <v>3.9744000000000002</v>
      </c>
      <c r="Y28" s="831">
        <v>0.51680000000000004</v>
      </c>
      <c r="Z28" s="829">
        <v>239.7852113224281</v>
      </c>
      <c r="AA28" s="830">
        <v>4.1936</v>
      </c>
      <c r="AB28" s="831">
        <v>0.56320000000000003</v>
      </c>
      <c r="AC28" s="832">
        <v>230.71628538313649</v>
      </c>
      <c r="AD28" s="830">
        <v>4.0031999999999996</v>
      </c>
      <c r="AE28" s="831">
        <v>0.47520000000000001</v>
      </c>
      <c r="AF28" s="829">
        <v>248.83924525599022</v>
      </c>
      <c r="AG28" s="830">
        <v>4.3151999999999999</v>
      </c>
      <c r="AH28" s="831">
        <v>0.53280000000000005</v>
      </c>
      <c r="AI28" s="829">
        <v>247.37396431119424</v>
      </c>
      <c r="AJ28" s="830">
        <v>4.2896000000000001</v>
      </c>
      <c r="AK28" s="831">
        <v>0.53120000000000001</v>
      </c>
      <c r="AL28" s="829">
        <v>238.9517114732777</v>
      </c>
      <c r="AM28" s="830">
        <v>4.1904000000000003</v>
      </c>
      <c r="AN28" s="831">
        <v>0.46879999999999999</v>
      </c>
      <c r="AO28" s="829">
        <v>240.89224036509762</v>
      </c>
      <c r="AP28" s="830">
        <v>4.2207999999999997</v>
      </c>
      <c r="AQ28" s="831">
        <v>0.504</v>
      </c>
      <c r="AR28" s="829">
        <v>242.49846063529404</v>
      </c>
      <c r="AS28" s="830">
        <v>4.2480000000000002</v>
      </c>
      <c r="AT28" s="831">
        <v>0.51519999999999999</v>
      </c>
      <c r="AU28" s="829">
        <v>250.74210096791882</v>
      </c>
      <c r="AV28" s="830">
        <v>4.3823999999999996</v>
      </c>
      <c r="AW28" s="831">
        <v>0.60960000000000003</v>
      </c>
      <c r="AX28" s="829">
        <v>263.45449676134768</v>
      </c>
      <c r="AY28" s="830">
        <v>4.5552000000000001</v>
      </c>
      <c r="AZ28" s="831">
        <v>0.66400000000000003</v>
      </c>
      <c r="BA28" s="829">
        <v>257.5129970302886</v>
      </c>
      <c r="BB28" s="830">
        <v>4.4576000000000002</v>
      </c>
      <c r="BC28" s="831">
        <v>0.61280000000000001</v>
      </c>
      <c r="BD28" s="832">
        <v>254.44913647179399</v>
      </c>
      <c r="BE28" s="830">
        <v>4.4063999999999997</v>
      </c>
      <c r="BF28" s="831">
        <v>0.59199999999999997</v>
      </c>
      <c r="BG28" s="829">
        <v>243.94606931267083</v>
      </c>
      <c r="BH28" s="830">
        <v>4.2271999999999998</v>
      </c>
      <c r="BI28" s="831">
        <v>0.54720000000000002</v>
      </c>
      <c r="BJ28" s="829">
        <v>230.7985571229635</v>
      </c>
      <c r="BK28" s="830">
        <v>4.0815999999999999</v>
      </c>
      <c r="BL28" s="831">
        <v>0.504</v>
      </c>
      <c r="BM28" s="829">
        <v>234.47808621546355</v>
      </c>
      <c r="BN28" s="830">
        <v>4.1055999999999999</v>
      </c>
      <c r="BO28" s="831">
        <v>0.51359999999999995</v>
      </c>
      <c r="BP28" s="829">
        <v>227.04746412364591</v>
      </c>
      <c r="BQ28" s="830">
        <v>3.9727999999999999</v>
      </c>
      <c r="BR28" s="831">
        <v>0.51839999999999997</v>
      </c>
      <c r="BS28" s="829">
        <v>221.3681963124356</v>
      </c>
      <c r="BT28" s="830">
        <v>3.8351999999999999</v>
      </c>
      <c r="BU28" s="831">
        <v>0.50239999999999996</v>
      </c>
      <c r="BV28" s="829">
        <v>207.00952651671724</v>
      </c>
      <c r="BW28" s="830">
        <v>3.6591999999999998</v>
      </c>
      <c r="BX28" s="831">
        <v>0.46560000000000001</v>
      </c>
      <c r="BY28" s="829">
        <v>206.21636052794469</v>
      </c>
      <c r="BZ28" s="830">
        <v>3.6095999999999999</v>
      </c>
      <c r="CA28" s="831">
        <v>0.46079999999999999</v>
      </c>
    </row>
    <row r="29" spans="1:80" x14ac:dyDescent="0.2">
      <c r="A29" s="822">
        <v>3</v>
      </c>
      <c r="B29" s="823" t="s">
        <v>2216</v>
      </c>
      <c r="C29" s="824"/>
      <c r="D29" s="814"/>
      <c r="E29" s="815"/>
      <c r="F29" s="816"/>
      <c r="G29" s="817"/>
      <c r="H29" s="829">
        <v>145.34200053727164</v>
      </c>
      <c r="I29" s="830">
        <v>2.5703999999999998</v>
      </c>
      <c r="J29" s="831">
        <v>0.31680000000000003</v>
      </c>
      <c r="K29" s="829">
        <v>144.48938807689012</v>
      </c>
      <c r="L29" s="830">
        <v>2.5295999999999998</v>
      </c>
      <c r="M29" s="831">
        <v>0.31919999999999998</v>
      </c>
      <c r="N29" s="829">
        <v>142.41846332931084</v>
      </c>
      <c r="O29" s="830">
        <v>2.5175999999999998</v>
      </c>
      <c r="P29" s="831">
        <v>0.31919999999999998</v>
      </c>
      <c r="Q29" s="829">
        <v>149.49994481456878</v>
      </c>
      <c r="R29" s="830">
        <v>2.6183999999999998</v>
      </c>
      <c r="S29" s="831">
        <v>0.3216</v>
      </c>
      <c r="T29" s="829">
        <v>169.81896278220592</v>
      </c>
      <c r="U29" s="830">
        <v>3.0047999999999999</v>
      </c>
      <c r="V29" s="831">
        <v>0.35759999999999997</v>
      </c>
      <c r="W29" s="829">
        <v>192.82580636713979</v>
      </c>
      <c r="X29" s="830">
        <v>3.3792</v>
      </c>
      <c r="Y29" s="831">
        <v>0.39839999999999998</v>
      </c>
      <c r="Z29" s="829">
        <v>197.22782474525931</v>
      </c>
      <c r="AA29" s="830">
        <v>3.456</v>
      </c>
      <c r="AB29" s="831">
        <v>0.41039999999999999</v>
      </c>
      <c r="AC29" s="832">
        <v>193.42673899903892</v>
      </c>
      <c r="AD29" s="830">
        <v>3.36</v>
      </c>
      <c r="AE29" s="831">
        <v>0.36480000000000001</v>
      </c>
      <c r="AF29" s="829">
        <v>198.17381233271723</v>
      </c>
      <c r="AG29" s="830">
        <v>3.4416000000000002</v>
      </c>
      <c r="AH29" s="831">
        <v>0.38159999999999999</v>
      </c>
      <c r="AI29" s="829">
        <v>194.41394860951016</v>
      </c>
      <c r="AJ29" s="830">
        <v>3.4104000000000001</v>
      </c>
      <c r="AK29" s="831">
        <v>0.372</v>
      </c>
      <c r="AL29" s="829">
        <v>195.83924220508939</v>
      </c>
      <c r="AM29" s="830">
        <v>3.3696000000000002</v>
      </c>
      <c r="AN29" s="831">
        <v>0.3528</v>
      </c>
      <c r="AO29" s="829">
        <v>189.29409388959201</v>
      </c>
      <c r="AP29" s="830">
        <v>3.3216000000000001</v>
      </c>
      <c r="AQ29" s="831">
        <v>0.3528</v>
      </c>
      <c r="AR29" s="829">
        <v>192.97148405184407</v>
      </c>
      <c r="AS29" s="830">
        <v>3.3504</v>
      </c>
      <c r="AT29" s="831">
        <v>0.37919999999999998</v>
      </c>
      <c r="AU29" s="829">
        <v>199.74237116313336</v>
      </c>
      <c r="AV29" s="830">
        <v>3.4655999999999998</v>
      </c>
      <c r="AW29" s="831">
        <v>0.4128</v>
      </c>
      <c r="AX29" s="829">
        <v>208.93986659572622</v>
      </c>
      <c r="AY29" s="830">
        <v>3.6240000000000001</v>
      </c>
      <c r="AZ29" s="831">
        <v>0.44159999999999999</v>
      </c>
      <c r="BA29" s="829">
        <v>210.95111224264605</v>
      </c>
      <c r="BB29" s="830">
        <v>3.6983999999999999</v>
      </c>
      <c r="BC29" s="831">
        <v>0.4224</v>
      </c>
      <c r="BD29" s="832">
        <v>218.12189254640609</v>
      </c>
      <c r="BE29" s="830">
        <v>3.7896000000000001</v>
      </c>
      <c r="BF29" s="831">
        <v>0.40560000000000002</v>
      </c>
      <c r="BG29" s="829">
        <v>216.34009469330437</v>
      </c>
      <c r="BH29" s="830">
        <v>3.7608000000000001</v>
      </c>
      <c r="BI29" s="831">
        <v>0.38159999999999999</v>
      </c>
      <c r="BJ29" s="829">
        <v>213.2376604597861</v>
      </c>
      <c r="BK29" s="830">
        <v>3.7080000000000002</v>
      </c>
      <c r="BL29" s="831">
        <v>0.36480000000000001</v>
      </c>
      <c r="BM29" s="829">
        <v>210.76789293590224</v>
      </c>
      <c r="BN29" s="830">
        <v>3.7008000000000001</v>
      </c>
      <c r="BO29" s="831">
        <v>0.36959999999999998</v>
      </c>
      <c r="BP29" s="829">
        <v>198.35800545013032</v>
      </c>
      <c r="BQ29" s="830">
        <v>3.4824000000000002</v>
      </c>
      <c r="BR29" s="831">
        <v>0.3528</v>
      </c>
      <c r="BS29" s="829">
        <v>184.41121738447663</v>
      </c>
      <c r="BT29" s="830">
        <v>3.2351999999999999</v>
      </c>
      <c r="BU29" s="831">
        <v>0.35039999999999999</v>
      </c>
      <c r="BV29" s="829">
        <v>167.75717585573872</v>
      </c>
      <c r="BW29" s="830">
        <v>2.94</v>
      </c>
      <c r="BX29" s="831">
        <v>0.34560000000000002</v>
      </c>
      <c r="BY29" s="829">
        <v>155.9275875590306</v>
      </c>
      <c r="BZ29" s="830">
        <v>2.7311999999999999</v>
      </c>
      <c r="CA29" s="831">
        <v>0.33360000000000001</v>
      </c>
    </row>
    <row r="30" spans="1:80" x14ac:dyDescent="0.2">
      <c r="A30" s="822">
        <v>4</v>
      </c>
      <c r="B30" s="823" t="s">
        <v>2217</v>
      </c>
      <c r="C30" s="824"/>
      <c r="D30" s="814"/>
      <c r="E30" s="815"/>
      <c r="F30" s="816"/>
      <c r="G30" s="817"/>
      <c r="H30" s="829">
        <v>110.50225712582028</v>
      </c>
      <c r="I30" s="830">
        <v>1.9248000000000001</v>
      </c>
      <c r="J30" s="831">
        <v>0.312</v>
      </c>
      <c r="K30" s="829">
        <v>107.94544287155067</v>
      </c>
      <c r="L30" s="830">
        <v>1.8984000000000001</v>
      </c>
      <c r="M30" s="831">
        <v>0.30959999999999999</v>
      </c>
      <c r="N30" s="829">
        <v>107.83430128064521</v>
      </c>
      <c r="O30" s="830">
        <v>1.8959999999999999</v>
      </c>
      <c r="P30" s="831">
        <v>0.312</v>
      </c>
      <c r="Q30" s="829">
        <v>110.05615293663242</v>
      </c>
      <c r="R30" s="830">
        <v>1.9176</v>
      </c>
      <c r="S30" s="831">
        <v>0.30719999999999997</v>
      </c>
      <c r="T30" s="829">
        <v>122.31217729395861</v>
      </c>
      <c r="U30" s="830">
        <v>2.1360000000000001</v>
      </c>
      <c r="V30" s="831">
        <v>0.30959999999999999</v>
      </c>
      <c r="W30" s="829">
        <v>136.11387040033111</v>
      </c>
      <c r="X30" s="830">
        <v>2.3567999999999998</v>
      </c>
      <c r="Y30" s="831">
        <v>0.31919999999999998</v>
      </c>
      <c r="Z30" s="829">
        <v>140.8374845282288</v>
      </c>
      <c r="AA30" s="830">
        <v>2.4624000000000001</v>
      </c>
      <c r="AB30" s="831">
        <v>0.33600000000000002</v>
      </c>
      <c r="AC30" s="832">
        <v>134.80158941399341</v>
      </c>
      <c r="AD30" s="830">
        <v>2.34</v>
      </c>
      <c r="AE30" s="831">
        <v>0.26879999999999998</v>
      </c>
      <c r="AF30" s="829">
        <v>137.86649941294118</v>
      </c>
      <c r="AG30" s="830">
        <v>2.3927999999999998</v>
      </c>
      <c r="AH30" s="831">
        <v>0.27839999999999998</v>
      </c>
      <c r="AI30" s="829">
        <v>140.11324989732543</v>
      </c>
      <c r="AJ30" s="830">
        <v>2.4312</v>
      </c>
      <c r="AK30" s="831">
        <v>0.28799999999999998</v>
      </c>
      <c r="AL30" s="829">
        <v>140.79755015855022</v>
      </c>
      <c r="AM30" s="830">
        <v>2.4672000000000001</v>
      </c>
      <c r="AN30" s="831">
        <v>0.2928</v>
      </c>
      <c r="AO30" s="829">
        <v>139.17695857203836</v>
      </c>
      <c r="AP30" s="830">
        <v>2.4384000000000001</v>
      </c>
      <c r="AQ30" s="831">
        <v>0.2928</v>
      </c>
      <c r="AR30" s="829">
        <v>140.32272437902418</v>
      </c>
      <c r="AS30" s="830">
        <v>2.4575999999999998</v>
      </c>
      <c r="AT30" s="831">
        <v>0.3024</v>
      </c>
      <c r="AU30" s="829">
        <v>148.97240232104875</v>
      </c>
      <c r="AV30" s="830">
        <v>2.6040000000000001</v>
      </c>
      <c r="AW30" s="831">
        <v>0.36</v>
      </c>
      <c r="AX30" s="829">
        <v>156.08271752713944</v>
      </c>
      <c r="AY30" s="830">
        <v>2.7023999999999999</v>
      </c>
      <c r="AZ30" s="831">
        <v>0.36720000000000003</v>
      </c>
      <c r="BA30" s="829">
        <v>158.8874191245032</v>
      </c>
      <c r="BB30" s="830">
        <v>2.7528000000000001</v>
      </c>
      <c r="BC30" s="831">
        <v>0.36</v>
      </c>
      <c r="BD30" s="832">
        <v>164.62656082962252</v>
      </c>
      <c r="BE30" s="830">
        <v>2.8536000000000001</v>
      </c>
      <c r="BF30" s="831">
        <v>0.3624</v>
      </c>
      <c r="BG30" s="829">
        <v>167.04565843828399</v>
      </c>
      <c r="BH30" s="830">
        <v>2.8967999999999998</v>
      </c>
      <c r="BI30" s="831">
        <v>0.35759999999999997</v>
      </c>
      <c r="BJ30" s="829">
        <v>161.64683620124205</v>
      </c>
      <c r="BK30" s="830">
        <v>2.8584000000000001</v>
      </c>
      <c r="BL30" s="831">
        <v>0.35520000000000002</v>
      </c>
      <c r="BM30" s="829">
        <v>159.82388326180191</v>
      </c>
      <c r="BN30" s="830">
        <v>2.7984</v>
      </c>
      <c r="BO30" s="831">
        <v>0.35039999999999999</v>
      </c>
      <c r="BP30" s="829">
        <v>148.97985246223993</v>
      </c>
      <c r="BQ30" s="830">
        <v>2.6063999999999998</v>
      </c>
      <c r="BR30" s="831">
        <v>0.34320000000000001</v>
      </c>
      <c r="BS30" s="829">
        <v>138.65649983771968</v>
      </c>
      <c r="BT30" s="830">
        <v>2.4</v>
      </c>
      <c r="BU30" s="831">
        <v>0.33119999999999999</v>
      </c>
      <c r="BV30" s="829">
        <v>122.90191091857328</v>
      </c>
      <c r="BW30" s="830">
        <v>2.1648000000000001</v>
      </c>
      <c r="BX30" s="831">
        <v>0.33119999999999999</v>
      </c>
      <c r="BY30" s="829">
        <v>116.2500662223335</v>
      </c>
      <c r="BZ30" s="830">
        <v>2.0255999999999998</v>
      </c>
      <c r="CA30" s="831">
        <v>0.32400000000000001</v>
      </c>
    </row>
    <row r="31" spans="1:80" x14ac:dyDescent="0.2">
      <c r="A31" s="822">
        <v>5</v>
      </c>
      <c r="B31" s="823" t="s">
        <v>2218</v>
      </c>
      <c r="C31" s="824"/>
      <c r="D31" s="814"/>
      <c r="E31" s="815"/>
      <c r="F31" s="816"/>
      <c r="G31" s="817"/>
      <c r="H31" s="829">
        <v>115.96430461879056</v>
      </c>
      <c r="I31" s="830">
        <v>2.0472000000000001</v>
      </c>
      <c r="J31" s="831">
        <v>0.28079999999999999</v>
      </c>
      <c r="K31" s="829">
        <v>115.60053585497886</v>
      </c>
      <c r="L31" s="830">
        <v>2.0207999999999999</v>
      </c>
      <c r="M31" s="831">
        <v>0.27839999999999998</v>
      </c>
      <c r="N31" s="829">
        <v>115.44903912172428</v>
      </c>
      <c r="O31" s="830">
        <v>2.0375999999999999</v>
      </c>
      <c r="P31" s="831">
        <v>0.28320000000000001</v>
      </c>
      <c r="Q31" s="829">
        <v>120.8319032925541</v>
      </c>
      <c r="R31" s="830">
        <v>2.1120000000000001</v>
      </c>
      <c r="S31" s="831">
        <v>0.2928</v>
      </c>
      <c r="T31" s="829">
        <v>139.73703714727259</v>
      </c>
      <c r="U31" s="830">
        <v>2.4672000000000001</v>
      </c>
      <c r="V31" s="831">
        <v>0.33600000000000002</v>
      </c>
      <c r="W31" s="829">
        <v>168.26325857113645</v>
      </c>
      <c r="X31" s="830">
        <v>2.94</v>
      </c>
      <c r="Y31" s="831">
        <v>0.41520000000000001</v>
      </c>
      <c r="Z31" s="829">
        <v>188.31271636784243</v>
      </c>
      <c r="AA31" s="830">
        <v>3.2784</v>
      </c>
      <c r="AB31" s="831">
        <v>0.54239999999999999</v>
      </c>
      <c r="AC31" s="832">
        <v>193.99556956999734</v>
      </c>
      <c r="AD31" s="830">
        <v>3.3408000000000002</v>
      </c>
      <c r="AE31" s="831">
        <v>0.5736</v>
      </c>
      <c r="AF31" s="829">
        <v>192.53009683307778</v>
      </c>
      <c r="AG31" s="830">
        <v>3.3144</v>
      </c>
      <c r="AH31" s="831">
        <v>0.57599999999999996</v>
      </c>
      <c r="AI31" s="829">
        <v>193.77764753970757</v>
      </c>
      <c r="AJ31" s="830">
        <v>3.3672</v>
      </c>
      <c r="AK31" s="831">
        <v>0.59519999999999995</v>
      </c>
      <c r="AL31" s="829">
        <v>191.39733005754235</v>
      </c>
      <c r="AM31" s="830">
        <v>3.2568000000000001</v>
      </c>
      <c r="AN31" s="831">
        <v>0.59760000000000002</v>
      </c>
      <c r="AO31" s="829">
        <v>183.43512927589387</v>
      </c>
      <c r="AP31" s="830">
        <v>3.1848000000000001</v>
      </c>
      <c r="AQ31" s="831">
        <v>0.57840000000000003</v>
      </c>
      <c r="AR31" s="829">
        <v>187.75754794468418</v>
      </c>
      <c r="AS31" s="830">
        <v>3.2280000000000002</v>
      </c>
      <c r="AT31" s="831">
        <v>0.58560000000000001</v>
      </c>
      <c r="AU31" s="829">
        <v>195.06975176599116</v>
      </c>
      <c r="AV31" s="830">
        <v>3.3504</v>
      </c>
      <c r="AW31" s="831">
        <v>0.62639999999999996</v>
      </c>
      <c r="AX31" s="829">
        <v>199.19724546387312</v>
      </c>
      <c r="AY31" s="830">
        <v>3.4272</v>
      </c>
      <c r="AZ31" s="831">
        <v>0.60719999999999996</v>
      </c>
      <c r="BA31" s="829">
        <v>187.9101759378392</v>
      </c>
      <c r="BB31" s="830">
        <v>3.2711999999999999</v>
      </c>
      <c r="BC31" s="831">
        <v>0.54239999999999999</v>
      </c>
      <c r="BD31" s="832">
        <v>180.34227015567927</v>
      </c>
      <c r="BE31" s="830">
        <v>3.1175999999999999</v>
      </c>
      <c r="BF31" s="831">
        <v>0.45839999999999997</v>
      </c>
      <c r="BG31" s="829">
        <v>174.64944676437574</v>
      </c>
      <c r="BH31" s="830">
        <v>3.0215999999999998</v>
      </c>
      <c r="BI31" s="831">
        <v>0.42720000000000002</v>
      </c>
      <c r="BJ31" s="829">
        <v>165.10352599130272</v>
      </c>
      <c r="BK31" s="830">
        <v>2.8632</v>
      </c>
      <c r="BL31" s="831">
        <v>0.3528</v>
      </c>
      <c r="BM31" s="829">
        <v>154.04147599830296</v>
      </c>
      <c r="BN31" s="830">
        <v>2.7023999999999999</v>
      </c>
      <c r="BO31" s="831">
        <v>0.2928</v>
      </c>
      <c r="BP31" s="829">
        <v>149.97063023746941</v>
      </c>
      <c r="BQ31" s="830">
        <v>2.6303999999999998</v>
      </c>
      <c r="BR31" s="831">
        <v>0.29039999999999999</v>
      </c>
      <c r="BS31" s="829">
        <v>140.90084396577853</v>
      </c>
      <c r="BT31" s="830">
        <v>2.4695999999999998</v>
      </c>
      <c r="BU31" s="831">
        <v>0.28799999999999998</v>
      </c>
      <c r="BV31" s="829">
        <v>128.73314289253364</v>
      </c>
      <c r="BW31" s="830">
        <v>2.2536</v>
      </c>
      <c r="BX31" s="831">
        <v>0.28560000000000002</v>
      </c>
      <c r="BY31" s="829">
        <v>122.41218019085366</v>
      </c>
      <c r="BZ31" s="830">
        <v>2.1408</v>
      </c>
      <c r="CA31" s="831">
        <v>0.28799999999999998</v>
      </c>
    </row>
    <row r="32" spans="1:80" x14ac:dyDescent="0.2">
      <c r="A32" s="822">
        <v>6</v>
      </c>
      <c r="B32" s="823" t="s">
        <v>2219</v>
      </c>
      <c r="C32" s="824"/>
      <c r="D32" s="814"/>
      <c r="E32" s="815"/>
      <c r="F32" s="816"/>
      <c r="G32" s="817"/>
      <c r="H32" s="829">
        <v>70.56635004904615</v>
      </c>
      <c r="I32" s="830">
        <v>1.236</v>
      </c>
      <c r="J32" s="831">
        <v>0.1512</v>
      </c>
      <c r="K32" s="829">
        <v>68.811835539231609</v>
      </c>
      <c r="L32" s="830">
        <v>1.2168000000000001</v>
      </c>
      <c r="M32" s="831">
        <v>0.1512</v>
      </c>
      <c r="N32" s="829">
        <v>68.277228860034185</v>
      </c>
      <c r="O32" s="830">
        <v>1.2072000000000001</v>
      </c>
      <c r="P32" s="831">
        <v>0.1512</v>
      </c>
      <c r="Q32" s="829">
        <v>69.604825481903561</v>
      </c>
      <c r="R32" s="830">
        <v>1.2192000000000001</v>
      </c>
      <c r="S32" s="831">
        <v>0.14879999999999999</v>
      </c>
      <c r="T32" s="829">
        <v>79.64204015287963</v>
      </c>
      <c r="U32" s="830">
        <v>1.3944000000000001</v>
      </c>
      <c r="V32" s="831">
        <v>0.17519999999999999</v>
      </c>
      <c r="W32" s="829">
        <v>99.785857762701681</v>
      </c>
      <c r="X32" s="830">
        <v>1.7256</v>
      </c>
      <c r="Y32" s="831">
        <v>0.24959999999999999</v>
      </c>
      <c r="Z32" s="829">
        <v>112.58855419744096</v>
      </c>
      <c r="AA32" s="830">
        <v>1.9488000000000001</v>
      </c>
      <c r="AB32" s="831">
        <v>0.38640000000000002</v>
      </c>
      <c r="AC32" s="832">
        <v>119.48602407604749</v>
      </c>
      <c r="AD32" s="830">
        <v>2.0352000000000001</v>
      </c>
      <c r="AE32" s="831">
        <v>0.46560000000000001</v>
      </c>
      <c r="AF32" s="829">
        <v>119.19712033854272</v>
      </c>
      <c r="AG32" s="830">
        <v>2.0232000000000001</v>
      </c>
      <c r="AH32" s="831">
        <v>0.49440000000000001</v>
      </c>
      <c r="AI32" s="829">
        <v>117.86608525327031</v>
      </c>
      <c r="AJ32" s="830">
        <v>2.0015999999999998</v>
      </c>
      <c r="AK32" s="831">
        <v>0.48480000000000001</v>
      </c>
      <c r="AL32" s="829">
        <v>115.96974890678625</v>
      </c>
      <c r="AM32" s="830">
        <v>1.9944</v>
      </c>
      <c r="AN32" s="831">
        <v>0.45839999999999997</v>
      </c>
      <c r="AO32" s="829">
        <v>112.94321067836879</v>
      </c>
      <c r="AP32" s="830">
        <v>1.944</v>
      </c>
      <c r="AQ32" s="831">
        <v>0.43919999999999998</v>
      </c>
      <c r="AR32" s="829">
        <v>117.8001060349315</v>
      </c>
      <c r="AS32" s="830">
        <v>2.0207999999999999</v>
      </c>
      <c r="AT32" s="831">
        <v>0.48720000000000002</v>
      </c>
      <c r="AU32" s="829">
        <v>124.8553431723543</v>
      </c>
      <c r="AV32" s="830">
        <v>2.1383999999999999</v>
      </c>
      <c r="AW32" s="831">
        <v>0.53039999999999998</v>
      </c>
      <c r="AX32" s="829">
        <v>126.90050085233729</v>
      </c>
      <c r="AY32" s="830">
        <v>2.1576</v>
      </c>
      <c r="AZ32" s="831">
        <v>0.51119999999999999</v>
      </c>
      <c r="BA32" s="829">
        <v>118.76860258153913</v>
      </c>
      <c r="BB32" s="830">
        <v>2.0255999999999998</v>
      </c>
      <c r="BC32" s="831">
        <v>0.45119999999999999</v>
      </c>
      <c r="BD32" s="832">
        <v>113.66445903831318</v>
      </c>
      <c r="BE32" s="830">
        <v>1.9536</v>
      </c>
      <c r="BF32" s="831">
        <v>0.35759999999999997</v>
      </c>
      <c r="BG32" s="829">
        <v>109.96560225731849</v>
      </c>
      <c r="BH32" s="830">
        <v>1.9008</v>
      </c>
      <c r="BI32" s="831">
        <v>0.28079999999999999</v>
      </c>
      <c r="BJ32" s="829">
        <v>101.30744130963592</v>
      </c>
      <c r="BK32" s="830">
        <v>1.7927999999999999</v>
      </c>
      <c r="BL32" s="831">
        <v>0.2112</v>
      </c>
      <c r="BM32" s="829">
        <v>98.875687673960172</v>
      </c>
      <c r="BN32" s="830">
        <v>1.7352000000000001</v>
      </c>
      <c r="BO32" s="831">
        <v>0.18240000000000001</v>
      </c>
      <c r="BP32" s="829">
        <v>93.515476589925498</v>
      </c>
      <c r="BQ32" s="830">
        <v>1.6415999999999999</v>
      </c>
      <c r="BR32" s="831">
        <v>0.16800000000000001</v>
      </c>
      <c r="BS32" s="829">
        <v>86.489893159582891</v>
      </c>
      <c r="BT32" s="830">
        <v>1.5024</v>
      </c>
      <c r="BU32" s="831">
        <v>0.16320000000000001</v>
      </c>
      <c r="BV32" s="829">
        <v>76.230497551705724</v>
      </c>
      <c r="BW32" s="830">
        <v>1.3488</v>
      </c>
      <c r="BX32" s="831">
        <v>0.1608</v>
      </c>
      <c r="BY32" s="829">
        <v>72.035550916132109</v>
      </c>
      <c r="BZ32" s="830">
        <v>1.2624</v>
      </c>
      <c r="CA32" s="831">
        <v>0.14879999999999999</v>
      </c>
    </row>
    <row r="33" spans="1:79" ht="16.5" customHeight="1" x14ac:dyDescent="0.2">
      <c r="A33" s="822">
        <v>7</v>
      </c>
      <c r="B33" s="823" t="s">
        <v>2220</v>
      </c>
      <c r="C33" s="824"/>
      <c r="D33" s="814"/>
      <c r="E33" s="815"/>
      <c r="F33" s="816"/>
      <c r="G33" s="817"/>
      <c r="H33" s="829">
        <v>47.241072286074001</v>
      </c>
      <c r="I33" s="830">
        <v>0.83040000000000003</v>
      </c>
      <c r="J33" s="831">
        <v>0.13800000000000001</v>
      </c>
      <c r="K33" s="829">
        <v>47.368832629471243</v>
      </c>
      <c r="L33" s="830">
        <v>0.82440000000000002</v>
      </c>
      <c r="M33" s="831">
        <v>0.13800000000000001</v>
      </c>
      <c r="N33" s="829">
        <v>46.698575349054174</v>
      </c>
      <c r="O33" s="830">
        <v>0.82079999999999997</v>
      </c>
      <c r="P33" s="831">
        <v>0.1368</v>
      </c>
      <c r="Q33" s="829">
        <v>48.10677082320683</v>
      </c>
      <c r="R33" s="830">
        <v>0.83760000000000001</v>
      </c>
      <c r="S33" s="831">
        <v>0.13800000000000001</v>
      </c>
      <c r="T33" s="829">
        <v>52.743346282898003</v>
      </c>
      <c r="U33" s="830">
        <v>0.93</v>
      </c>
      <c r="V33" s="831">
        <v>0.1356</v>
      </c>
      <c r="W33" s="829">
        <v>59.838412808056646</v>
      </c>
      <c r="X33" s="830">
        <v>1.0451999999999999</v>
      </c>
      <c r="Y33" s="831">
        <v>0.15</v>
      </c>
      <c r="Z33" s="829">
        <v>65.732970503807195</v>
      </c>
      <c r="AA33" s="830">
        <v>1.1292</v>
      </c>
      <c r="AB33" s="831">
        <v>0.26519999999999999</v>
      </c>
      <c r="AC33" s="832">
        <v>60.529134493973757</v>
      </c>
      <c r="AD33" s="830">
        <v>1.038</v>
      </c>
      <c r="AE33" s="831">
        <v>0.20280000000000001</v>
      </c>
      <c r="AF33" s="829">
        <v>60.519276490504339</v>
      </c>
      <c r="AG33" s="830">
        <v>1.0344</v>
      </c>
      <c r="AH33" s="831">
        <v>0.21959999999999999</v>
      </c>
      <c r="AI33" s="829">
        <v>59.324274489246903</v>
      </c>
      <c r="AJ33" s="830">
        <v>1.0284</v>
      </c>
      <c r="AK33" s="831">
        <v>0.1956</v>
      </c>
      <c r="AL33" s="829">
        <v>57.137420494299739</v>
      </c>
      <c r="AM33" s="830">
        <v>0.98160000000000003</v>
      </c>
      <c r="AN33" s="831">
        <v>0.1164</v>
      </c>
      <c r="AO33" s="829">
        <v>58.700442967969892</v>
      </c>
      <c r="AP33" s="830">
        <v>1.0127999999999999</v>
      </c>
      <c r="AQ33" s="831">
        <v>0.2172</v>
      </c>
      <c r="AR33" s="829">
        <v>61.956368339512331</v>
      </c>
      <c r="AS33" s="830">
        <v>1.0620000000000001</v>
      </c>
      <c r="AT33" s="831">
        <v>0.21</v>
      </c>
      <c r="AU33" s="829">
        <v>67.099495085176059</v>
      </c>
      <c r="AV33" s="830">
        <v>1.1412</v>
      </c>
      <c r="AW33" s="831">
        <v>0.26879999999999998</v>
      </c>
      <c r="AX33" s="829">
        <v>71.187052810515397</v>
      </c>
      <c r="AY33" s="830">
        <v>1.2168000000000001</v>
      </c>
      <c r="AZ33" s="831">
        <v>0.25800000000000001</v>
      </c>
      <c r="BA33" s="829">
        <v>70.017986464638952</v>
      </c>
      <c r="BB33" s="830">
        <v>1.2108000000000001</v>
      </c>
      <c r="BC33" s="831">
        <v>0.246</v>
      </c>
      <c r="BD33" s="832">
        <v>72.399160377489565</v>
      </c>
      <c r="BE33" s="830">
        <v>1.2432000000000001</v>
      </c>
      <c r="BF33" s="831">
        <v>0.23400000000000001</v>
      </c>
      <c r="BG33" s="829">
        <v>73.934134775648275</v>
      </c>
      <c r="BH33" s="830">
        <v>1.272</v>
      </c>
      <c r="BI33" s="831">
        <v>0.22559999999999999</v>
      </c>
      <c r="BJ33" s="829">
        <v>73.774987850013929</v>
      </c>
      <c r="BK33" s="830">
        <v>1.2696000000000001</v>
      </c>
      <c r="BL33" s="831">
        <v>0.22320000000000001</v>
      </c>
      <c r="BM33" s="829">
        <v>69.612399246759765</v>
      </c>
      <c r="BN33" s="830">
        <v>1.2143999999999999</v>
      </c>
      <c r="BO33" s="831">
        <v>0.18479999999999999</v>
      </c>
      <c r="BP33" s="829">
        <v>64.311620841489358</v>
      </c>
      <c r="BQ33" s="830">
        <v>1.1244000000000001</v>
      </c>
      <c r="BR33" s="831">
        <v>0.15359999999999999</v>
      </c>
      <c r="BS33" s="829">
        <v>56.895645334958267</v>
      </c>
      <c r="BT33" s="830">
        <v>0.99360000000000004</v>
      </c>
      <c r="BU33" s="831">
        <v>0.14399999999999999</v>
      </c>
      <c r="BV33" s="829">
        <v>52.224742804848731</v>
      </c>
      <c r="BW33" s="830">
        <v>0.91080000000000005</v>
      </c>
      <c r="BX33" s="831">
        <v>0.1404</v>
      </c>
      <c r="BY33" s="829">
        <v>49.012263114289517</v>
      </c>
      <c r="BZ33" s="830">
        <v>0.85319999999999996</v>
      </c>
      <c r="CA33" s="831">
        <v>0.1416</v>
      </c>
    </row>
    <row r="34" spans="1:79" ht="16.5" customHeight="1" x14ac:dyDescent="0.2">
      <c r="A34" s="822">
        <v>8</v>
      </c>
      <c r="B34" s="823" t="s">
        <v>2221</v>
      </c>
      <c r="C34" s="824"/>
      <c r="D34" s="814"/>
      <c r="E34" s="815"/>
      <c r="F34" s="816"/>
      <c r="G34" s="817"/>
      <c r="H34" s="829">
        <v>17.953077184631081</v>
      </c>
      <c r="I34" s="830">
        <v>0.31680000000000003</v>
      </c>
      <c r="J34" s="831">
        <v>0</v>
      </c>
      <c r="K34" s="829">
        <v>17.333683384567593</v>
      </c>
      <c r="L34" s="830">
        <v>0.30599999999999999</v>
      </c>
      <c r="M34" s="831">
        <v>-4.2000000000000003E-2</v>
      </c>
      <c r="N34" s="829">
        <v>17.057679190191354</v>
      </c>
      <c r="O34" s="830">
        <v>0.30120000000000002</v>
      </c>
      <c r="P34" s="831">
        <v>-4.0800000000000003E-2</v>
      </c>
      <c r="Q34" s="829">
        <v>19.46794223148828</v>
      </c>
      <c r="R34" s="830">
        <v>0.34200000000000003</v>
      </c>
      <c r="S34" s="831">
        <v>-3.2399999999999998E-2</v>
      </c>
      <c r="T34" s="829">
        <v>23.126387042682019</v>
      </c>
      <c r="U34" s="830">
        <v>0.40679999999999999</v>
      </c>
      <c r="V34" s="831">
        <v>-3.2399999999999998E-2</v>
      </c>
      <c r="W34" s="829">
        <v>30.027415929584443</v>
      </c>
      <c r="X34" s="830">
        <v>0.52439999999999998</v>
      </c>
      <c r="Y34" s="831">
        <v>-1.6799999999999999E-2</v>
      </c>
      <c r="Z34" s="829">
        <v>28.87251758457445</v>
      </c>
      <c r="AA34" s="830">
        <v>0.50880000000000003</v>
      </c>
      <c r="AB34" s="831">
        <v>-2.64E-2</v>
      </c>
      <c r="AC34" s="832">
        <v>27.071438133656876</v>
      </c>
      <c r="AD34" s="830">
        <v>0.4728</v>
      </c>
      <c r="AE34" s="831">
        <v>-1.44E-2</v>
      </c>
      <c r="AF34" s="829">
        <v>27.685506808434393</v>
      </c>
      <c r="AG34" s="830">
        <v>0.48359999999999997</v>
      </c>
      <c r="AH34" s="831">
        <v>-1.2E-2</v>
      </c>
      <c r="AI34" s="829">
        <v>27.490263917530498</v>
      </c>
      <c r="AJ34" s="830">
        <v>0.48</v>
      </c>
      <c r="AK34" s="831">
        <v>-1.7999999999999999E-2</v>
      </c>
      <c r="AL34" s="829">
        <v>26.963939398128566</v>
      </c>
      <c r="AM34" s="830">
        <v>0.47520000000000001</v>
      </c>
      <c r="AN34" s="831">
        <v>-2.4E-2</v>
      </c>
      <c r="AO34" s="829">
        <v>26.670087076436463</v>
      </c>
      <c r="AP34" s="830">
        <v>0.47039999999999998</v>
      </c>
      <c r="AQ34" s="831">
        <v>-1.44E-2</v>
      </c>
      <c r="AR34" s="829">
        <v>26.047782093523555</v>
      </c>
      <c r="AS34" s="830">
        <v>0.45960000000000001</v>
      </c>
      <c r="AT34" s="831">
        <v>-6.0000000000000001E-3</v>
      </c>
      <c r="AU34" s="829">
        <v>27.123314662027642</v>
      </c>
      <c r="AV34" s="830">
        <v>0.47760000000000002</v>
      </c>
      <c r="AW34" s="831">
        <v>-3.1199999999999999E-2</v>
      </c>
      <c r="AX34" s="829">
        <v>27.677294949920434</v>
      </c>
      <c r="AY34" s="830">
        <v>0.48359999999999997</v>
      </c>
      <c r="AZ34" s="831">
        <v>-2.2799999999999999E-3</v>
      </c>
      <c r="BA34" s="829">
        <v>30.090180695751368</v>
      </c>
      <c r="BB34" s="830">
        <v>0.52559999999999996</v>
      </c>
      <c r="BC34" s="831">
        <v>-1.32E-2</v>
      </c>
      <c r="BD34" s="832">
        <v>30.034719071181126</v>
      </c>
      <c r="BE34" s="830">
        <v>0.52439999999999998</v>
      </c>
      <c r="BF34" s="831">
        <v>-2.0400000000000001E-2</v>
      </c>
      <c r="BG34" s="829">
        <v>33.078412405892315</v>
      </c>
      <c r="BH34" s="830">
        <v>0.57720000000000005</v>
      </c>
      <c r="BI34" s="831">
        <v>-0.03</v>
      </c>
      <c r="BJ34" s="829">
        <v>32.675370320317725</v>
      </c>
      <c r="BK34" s="830">
        <v>0.58199999999999996</v>
      </c>
      <c r="BL34" s="831">
        <v>-1.6799999999999999E-2</v>
      </c>
      <c r="BM34" s="829">
        <v>30.774231996805497</v>
      </c>
      <c r="BN34" s="830">
        <v>0.54239999999999999</v>
      </c>
      <c r="BO34" s="831">
        <v>-2.64E-2</v>
      </c>
      <c r="BP34" s="829">
        <v>27.96646613306217</v>
      </c>
      <c r="BQ34" s="830">
        <v>0.49199999999999999</v>
      </c>
      <c r="BR34" s="831">
        <v>-3.8399999999999997E-2</v>
      </c>
      <c r="BS34" s="829">
        <v>24.125223698621134</v>
      </c>
      <c r="BT34" s="830">
        <v>0.42</v>
      </c>
      <c r="BU34" s="831">
        <v>-3.5999999999999997E-2</v>
      </c>
      <c r="BV34" s="829">
        <v>20.608757503472951</v>
      </c>
      <c r="BW34" s="830">
        <v>0.36599999999999999</v>
      </c>
      <c r="BX34" s="831">
        <v>-0.03</v>
      </c>
      <c r="BY34" s="829">
        <v>18.911004252613537</v>
      </c>
      <c r="BZ34" s="830">
        <v>0.33119999999999999</v>
      </c>
      <c r="CA34" s="831">
        <v>-4.0800000000000003E-2</v>
      </c>
    </row>
    <row r="35" spans="1:79" ht="16.5" customHeight="1" x14ac:dyDescent="0.2">
      <c r="A35" s="822">
        <v>9</v>
      </c>
      <c r="B35" s="823" t="s">
        <v>2222</v>
      </c>
      <c r="C35" s="824"/>
      <c r="D35" s="814"/>
      <c r="E35" s="815"/>
      <c r="F35" s="816"/>
      <c r="G35" s="817"/>
      <c r="H35" s="829">
        <v>0</v>
      </c>
      <c r="I35" s="830">
        <v>0</v>
      </c>
      <c r="J35" s="831">
        <v>0</v>
      </c>
      <c r="K35" s="829">
        <v>0</v>
      </c>
      <c r="L35" s="830">
        <v>0</v>
      </c>
      <c r="M35" s="831">
        <v>0</v>
      </c>
      <c r="N35" s="829">
        <v>0</v>
      </c>
      <c r="O35" s="830">
        <v>0</v>
      </c>
      <c r="P35" s="831">
        <v>0</v>
      </c>
      <c r="Q35" s="829">
        <v>0</v>
      </c>
      <c r="R35" s="830">
        <v>0</v>
      </c>
      <c r="S35" s="831">
        <v>0</v>
      </c>
      <c r="T35" s="829">
        <v>0</v>
      </c>
      <c r="U35" s="830">
        <v>0</v>
      </c>
      <c r="V35" s="831">
        <v>0</v>
      </c>
      <c r="W35" s="829">
        <v>0</v>
      </c>
      <c r="X35" s="830">
        <v>0</v>
      </c>
      <c r="Y35" s="831">
        <v>0</v>
      </c>
      <c r="Z35" s="829">
        <v>0</v>
      </c>
      <c r="AA35" s="830">
        <v>0</v>
      </c>
      <c r="AB35" s="831">
        <v>0</v>
      </c>
      <c r="AC35" s="832">
        <v>0</v>
      </c>
      <c r="AD35" s="830">
        <v>0</v>
      </c>
      <c r="AE35" s="831">
        <v>0</v>
      </c>
      <c r="AF35" s="829">
        <v>0</v>
      </c>
      <c r="AG35" s="830">
        <v>0</v>
      </c>
      <c r="AH35" s="831">
        <v>0</v>
      </c>
      <c r="AI35" s="829">
        <v>0</v>
      </c>
      <c r="AJ35" s="830">
        <v>0</v>
      </c>
      <c r="AK35" s="831">
        <v>0</v>
      </c>
      <c r="AL35" s="829">
        <v>0</v>
      </c>
      <c r="AM35" s="830">
        <v>0</v>
      </c>
      <c r="AN35" s="831">
        <v>0</v>
      </c>
      <c r="AO35" s="829">
        <v>0</v>
      </c>
      <c r="AP35" s="830">
        <v>0</v>
      </c>
      <c r="AQ35" s="831">
        <v>0</v>
      </c>
      <c r="AR35" s="829">
        <v>0</v>
      </c>
      <c r="AS35" s="830">
        <v>0</v>
      </c>
      <c r="AT35" s="831">
        <v>0</v>
      </c>
      <c r="AU35" s="829">
        <v>0</v>
      </c>
      <c r="AV35" s="830">
        <v>0</v>
      </c>
      <c r="AW35" s="831">
        <v>0</v>
      </c>
      <c r="AX35" s="829">
        <v>0</v>
      </c>
      <c r="AY35" s="830">
        <v>0</v>
      </c>
      <c r="AZ35" s="831">
        <v>0</v>
      </c>
      <c r="BA35" s="829">
        <v>0</v>
      </c>
      <c r="BB35" s="830">
        <v>0</v>
      </c>
      <c r="BC35" s="831">
        <v>0</v>
      </c>
      <c r="BD35" s="832">
        <v>0</v>
      </c>
      <c r="BE35" s="830">
        <v>0</v>
      </c>
      <c r="BF35" s="831">
        <v>0</v>
      </c>
      <c r="BG35" s="829">
        <v>0</v>
      </c>
      <c r="BH35" s="830">
        <v>0</v>
      </c>
      <c r="BI35" s="831">
        <v>0</v>
      </c>
      <c r="BJ35" s="829">
        <v>0</v>
      </c>
      <c r="BK35" s="830">
        <v>0</v>
      </c>
      <c r="BL35" s="831">
        <v>0</v>
      </c>
      <c r="BM35" s="829">
        <v>0</v>
      </c>
      <c r="BN35" s="830">
        <v>0</v>
      </c>
      <c r="BO35" s="831">
        <v>0</v>
      </c>
      <c r="BP35" s="829">
        <v>0</v>
      </c>
      <c r="BQ35" s="830">
        <v>0</v>
      </c>
      <c r="BR35" s="831">
        <v>0</v>
      </c>
      <c r="BS35" s="829">
        <v>0</v>
      </c>
      <c r="BT35" s="830">
        <v>0</v>
      </c>
      <c r="BU35" s="831">
        <v>0</v>
      </c>
      <c r="BV35" s="829">
        <v>0</v>
      </c>
      <c r="BW35" s="830">
        <v>0</v>
      </c>
      <c r="BX35" s="831">
        <v>0</v>
      </c>
      <c r="BY35" s="829">
        <v>0</v>
      </c>
      <c r="BZ35" s="830">
        <v>0</v>
      </c>
      <c r="CA35" s="831">
        <v>0</v>
      </c>
    </row>
    <row r="36" spans="1:79" ht="16.5" customHeight="1" x14ac:dyDescent="0.2">
      <c r="A36" s="822">
        <v>10</v>
      </c>
      <c r="B36" s="823" t="s">
        <v>2223</v>
      </c>
      <c r="C36" s="824"/>
      <c r="D36" s="814"/>
      <c r="E36" s="815"/>
      <c r="F36" s="816"/>
      <c r="G36" s="817"/>
      <c r="H36" s="829">
        <v>0</v>
      </c>
      <c r="I36" s="830">
        <v>0</v>
      </c>
      <c r="J36" s="831">
        <v>0</v>
      </c>
      <c r="K36" s="829">
        <v>0</v>
      </c>
      <c r="L36" s="830">
        <v>0</v>
      </c>
      <c r="M36" s="831">
        <v>0</v>
      </c>
      <c r="N36" s="829">
        <v>0</v>
      </c>
      <c r="O36" s="830">
        <v>0</v>
      </c>
      <c r="P36" s="831">
        <v>0</v>
      </c>
      <c r="Q36" s="829">
        <v>0</v>
      </c>
      <c r="R36" s="830">
        <v>0</v>
      </c>
      <c r="S36" s="831">
        <v>0</v>
      </c>
      <c r="T36" s="829">
        <v>0</v>
      </c>
      <c r="U36" s="830">
        <v>0</v>
      </c>
      <c r="V36" s="831">
        <v>0</v>
      </c>
      <c r="W36" s="829">
        <v>0</v>
      </c>
      <c r="X36" s="830">
        <v>0</v>
      </c>
      <c r="Y36" s="831">
        <v>0</v>
      </c>
      <c r="Z36" s="829">
        <v>0</v>
      </c>
      <c r="AA36" s="830">
        <v>0</v>
      </c>
      <c r="AB36" s="831">
        <v>0</v>
      </c>
      <c r="AC36" s="832">
        <v>0</v>
      </c>
      <c r="AD36" s="830">
        <v>0</v>
      </c>
      <c r="AE36" s="831">
        <v>0</v>
      </c>
      <c r="AF36" s="829">
        <v>0</v>
      </c>
      <c r="AG36" s="830">
        <v>0</v>
      </c>
      <c r="AH36" s="831">
        <v>0</v>
      </c>
      <c r="AI36" s="829">
        <v>0</v>
      </c>
      <c r="AJ36" s="830">
        <v>0</v>
      </c>
      <c r="AK36" s="831">
        <v>0</v>
      </c>
      <c r="AL36" s="829">
        <v>0</v>
      </c>
      <c r="AM36" s="830">
        <v>0</v>
      </c>
      <c r="AN36" s="831">
        <v>0</v>
      </c>
      <c r="AO36" s="829">
        <v>0</v>
      </c>
      <c r="AP36" s="830">
        <v>0</v>
      </c>
      <c r="AQ36" s="831">
        <v>0</v>
      </c>
      <c r="AR36" s="829">
        <v>0</v>
      </c>
      <c r="AS36" s="830">
        <v>0</v>
      </c>
      <c r="AT36" s="831">
        <v>0</v>
      </c>
      <c r="AU36" s="829">
        <v>0</v>
      </c>
      <c r="AV36" s="830">
        <v>0</v>
      </c>
      <c r="AW36" s="831">
        <v>0</v>
      </c>
      <c r="AX36" s="829">
        <v>0</v>
      </c>
      <c r="AY36" s="830">
        <v>0</v>
      </c>
      <c r="AZ36" s="831">
        <v>0</v>
      </c>
      <c r="BA36" s="829">
        <v>0</v>
      </c>
      <c r="BB36" s="830">
        <v>0</v>
      </c>
      <c r="BC36" s="831">
        <v>0</v>
      </c>
      <c r="BD36" s="832">
        <v>0</v>
      </c>
      <c r="BE36" s="830">
        <v>0</v>
      </c>
      <c r="BF36" s="831">
        <v>0</v>
      </c>
      <c r="BG36" s="829">
        <v>0</v>
      </c>
      <c r="BH36" s="830">
        <v>0</v>
      </c>
      <c r="BI36" s="831">
        <v>0</v>
      </c>
      <c r="BJ36" s="829">
        <v>0</v>
      </c>
      <c r="BK36" s="830">
        <v>0</v>
      </c>
      <c r="BL36" s="831">
        <v>0</v>
      </c>
      <c r="BM36" s="829">
        <v>0</v>
      </c>
      <c r="BN36" s="830">
        <v>0</v>
      </c>
      <c r="BO36" s="831">
        <v>0</v>
      </c>
      <c r="BP36" s="829">
        <v>0</v>
      </c>
      <c r="BQ36" s="830">
        <v>0</v>
      </c>
      <c r="BR36" s="831">
        <v>0</v>
      </c>
      <c r="BS36" s="829">
        <v>0</v>
      </c>
      <c r="BT36" s="830">
        <v>0</v>
      </c>
      <c r="BU36" s="831">
        <v>0</v>
      </c>
      <c r="BV36" s="829">
        <v>0</v>
      </c>
      <c r="BW36" s="830">
        <v>0</v>
      </c>
      <c r="BX36" s="831">
        <v>0</v>
      </c>
      <c r="BY36" s="829">
        <v>0</v>
      </c>
      <c r="BZ36" s="830">
        <v>0</v>
      </c>
      <c r="CA36" s="831">
        <v>0</v>
      </c>
    </row>
    <row r="37" spans="1:79" ht="16.5" customHeight="1" x14ac:dyDescent="0.2">
      <c r="A37" s="822">
        <v>11</v>
      </c>
      <c r="B37" s="833" t="s">
        <v>2224</v>
      </c>
      <c r="C37" s="824"/>
      <c r="D37" s="834"/>
      <c r="E37" s="835"/>
      <c r="F37" s="819"/>
      <c r="G37" s="836"/>
      <c r="H37" s="829">
        <v>0</v>
      </c>
      <c r="I37" s="830">
        <v>0</v>
      </c>
      <c r="J37" s="831">
        <v>0</v>
      </c>
      <c r="K37" s="829">
        <v>0</v>
      </c>
      <c r="L37" s="830">
        <v>0</v>
      </c>
      <c r="M37" s="831">
        <v>0</v>
      </c>
      <c r="N37" s="829">
        <v>0</v>
      </c>
      <c r="O37" s="830">
        <v>0</v>
      </c>
      <c r="P37" s="831">
        <v>0</v>
      </c>
      <c r="Q37" s="829">
        <v>0</v>
      </c>
      <c r="R37" s="830">
        <v>0</v>
      </c>
      <c r="S37" s="831">
        <v>0</v>
      </c>
      <c r="T37" s="829">
        <v>0</v>
      </c>
      <c r="U37" s="830">
        <v>0</v>
      </c>
      <c r="V37" s="831">
        <v>0</v>
      </c>
      <c r="W37" s="829">
        <v>0</v>
      </c>
      <c r="X37" s="830">
        <v>0</v>
      </c>
      <c r="Y37" s="831">
        <v>0</v>
      </c>
      <c r="Z37" s="829">
        <v>0</v>
      </c>
      <c r="AA37" s="830">
        <v>0</v>
      </c>
      <c r="AB37" s="831">
        <v>0</v>
      </c>
      <c r="AC37" s="832">
        <v>0</v>
      </c>
      <c r="AD37" s="830">
        <v>0</v>
      </c>
      <c r="AE37" s="831">
        <v>0</v>
      </c>
      <c r="AF37" s="829">
        <v>0</v>
      </c>
      <c r="AG37" s="830">
        <v>0</v>
      </c>
      <c r="AH37" s="831">
        <v>0</v>
      </c>
      <c r="AI37" s="829">
        <v>0</v>
      </c>
      <c r="AJ37" s="830">
        <v>0</v>
      </c>
      <c r="AK37" s="831">
        <v>0</v>
      </c>
      <c r="AL37" s="829">
        <v>0</v>
      </c>
      <c r="AM37" s="830">
        <v>0</v>
      </c>
      <c r="AN37" s="831">
        <v>0</v>
      </c>
      <c r="AO37" s="829">
        <v>0</v>
      </c>
      <c r="AP37" s="830">
        <v>0</v>
      </c>
      <c r="AQ37" s="831">
        <v>0</v>
      </c>
      <c r="AR37" s="829">
        <v>0</v>
      </c>
      <c r="AS37" s="830">
        <v>0</v>
      </c>
      <c r="AT37" s="831">
        <v>0</v>
      </c>
      <c r="AU37" s="829">
        <v>0</v>
      </c>
      <c r="AV37" s="830">
        <v>0</v>
      </c>
      <c r="AW37" s="831">
        <v>0</v>
      </c>
      <c r="AX37" s="829">
        <v>0</v>
      </c>
      <c r="AY37" s="830">
        <v>0</v>
      </c>
      <c r="AZ37" s="831">
        <v>0</v>
      </c>
      <c r="BA37" s="829">
        <v>0</v>
      </c>
      <c r="BB37" s="830">
        <v>0</v>
      </c>
      <c r="BC37" s="831">
        <v>0</v>
      </c>
      <c r="BD37" s="832">
        <v>0</v>
      </c>
      <c r="BE37" s="830">
        <v>0</v>
      </c>
      <c r="BF37" s="831">
        <v>0</v>
      </c>
      <c r="BG37" s="829">
        <v>0</v>
      </c>
      <c r="BH37" s="830">
        <v>0</v>
      </c>
      <c r="BI37" s="831">
        <v>0</v>
      </c>
      <c r="BJ37" s="829">
        <v>0</v>
      </c>
      <c r="BK37" s="830">
        <v>0</v>
      </c>
      <c r="BL37" s="831">
        <v>0</v>
      </c>
      <c r="BM37" s="829">
        <v>0</v>
      </c>
      <c r="BN37" s="830">
        <v>0</v>
      </c>
      <c r="BO37" s="831">
        <v>0</v>
      </c>
      <c r="BP37" s="829">
        <v>0</v>
      </c>
      <c r="BQ37" s="830">
        <v>0</v>
      </c>
      <c r="BR37" s="831">
        <v>0</v>
      </c>
      <c r="BS37" s="829">
        <v>0</v>
      </c>
      <c r="BT37" s="830">
        <v>0</v>
      </c>
      <c r="BU37" s="831">
        <v>0</v>
      </c>
      <c r="BV37" s="829">
        <v>0</v>
      </c>
      <c r="BW37" s="830">
        <v>0</v>
      </c>
      <c r="BX37" s="831">
        <v>0</v>
      </c>
      <c r="BY37" s="829">
        <v>0</v>
      </c>
      <c r="BZ37" s="830">
        <v>0</v>
      </c>
      <c r="CA37" s="831">
        <v>0</v>
      </c>
    </row>
    <row r="38" spans="1:79" ht="16.5" customHeight="1" x14ac:dyDescent="0.2">
      <c r="A38" s="822">
        <v>12</v>
      </c>
      <c r="B38" s="837" t="s">
        <v>2225</v>
      </c>
      <c r="C38" s="824"/>
      <c r="D38" s="834"/>
      <c r="E38" s="835"/>
      <c r="F38" s="819"/>
      <c r="G38" s="836"/>
      <c r="H38" s="829">
        <v>0</v>
      </c>
      <c r="I38" s="830">
        <v>0</v>
      </c>
      <c r="J38" s="831">
        <v>0</v>
      </c>
      <c r="K38" s="829">
        <v>0</v>
      </c>
      <c r="L38" s="830">
        <v>0</v>
      </c>
      <c r="M38" s="831">
        <v>0</v>
      </c>
      <c r="N38" s="829">
        <v>0</v>
      </c>
      <c r="O38" s="830">
        <v>0</v>
      </c>
      <c r="P38" s="831">
        <v>0</v>
      </c>
      <c r="Q38" s="829">
        <v>0</v>
      </c>
      <c r="R38" s="830">
        <v>0</v>
      </c>
      <c r="S38" s="831">
        <v>0</v>
      </c>
      <c r="T38" s="829">
        <v>0</v>
      </c>
      <c r="U38" s="830">
        <v>0</v>
      </c>
      <c r="V38" s="831">
        <v>0</v>
      </c>
      <c r="W38" s="829">
        <v>0</v>
      </c>
      <c r="X38" s="830">
        <v>0</v>
      </c>
      <c r="Y38" s="831">
        <v>0</v>
      </c>
      <c r="Z38" s="829">
        <v>0</v>
      </c>
      <c r="AA38" s="830">
        <v>0</v>
      </c>
      <c r="AB38" s="831">
        <v>0</v>
      </c>
      <c r="AC38" s="832">
        <v>0</v>
      </c>
      <c r="AD38" s="830">
        <v>0</v>
      </c>
      <c r="AE38" s="831">
        <v>0</v>
      </c>
      <c r="AF38" s="829">
        <v>0</v>
      </c>
      <c r="AG38" s="830">
        <v>0</v>
      </c>
      <c r="AH38" s="831">
        <v>0</v>
      </c>
      <c r="AI38" s="829">
        <v>0</v>
      </c>
      <c r="AJ38" s="830">
        <v>0</v>
      </c>
      <c r="AK38" s="831">
        <v>0</v>
      </c>
      <c r="AL38" s="829">
        <v>0</v>
      </c>
      <c r="AM38" s="830">
        <v>0</v>
      </c>
      <c r="AN38" s="831">
        <v>0</v>
      </c>
      <c r="AO38" s="829">
        <v>0</v>
      </c>
      <c r="AP38" s="830">
        <v>0</v>
      </c>
      <c r="AQ38" s="831">
        <v>0</v>
      </c>
      <c r="AR38" s="829">
        <v>0</v>
      </c>
      <c r="AS38" s="830">
        <v>0</v>
      </c>
      <c r="AT38" s="831">
        <v>0</v>
      </c>
      <c r="AU38" s="829">
        <v>0</v>
      </c>
      <c r="AV38" s="830">
        <v>0</v>
      </c>
      <c r="AW38" s="831">
        <v>0</v>
      </c>
      <c r="AX38" s="829">
        <v>0</v>
      </c>
      <c r="AY38" s="830">
        <v>0</v>
      </c>
      <c r="AZ38" s="831">
        <v>0</v>
      </c>
      <c r="BA38" s="829">
        <v>0</v>
      </c>
      <c r="BB38" s="830">
        <v>0</v>
      </c>
      <c r="BC38" s="831">
        <v>0</v>
      </c>
      <c r="BD38" s="832">
        <v>0</v>
      </c>
      <c r="BE38" s="830">
        <v>0</v>
      </c>
      <c r="BF38" s="831">
        <v>0</v>
      </c>
      <c r="BG38" s="829">
        <v>0</v>
      </c>
      <c r="BH38" s="830">
        <v>0</v>
      </c>
      <c r="BI38" s="831">
        <v>0</v>
      </c>
      <c r="BJ38" s="829">
        <v>0</v>
      </c>
      <c r="BK38" s="830">
        <v>0</v>
      </c>
      <c r="BL38" s="831">
        <v>0</v>
      </c>
      <c r="BM38" s="829">
        <v>0</v>
      </c>
      <c r="BN38" s="830">
        <v>0</v>
      </c>
      <c r="BO38" s="831">
        <v>0</v>
      </c>
      <c r="BP38" s="829">
        <v>0</v>
      </c>
      <c r="BQ38" s="830">
        <v>0</v>
      </c>
      <c r="BR38" s="831">
        <v>0</v>
      </c>
      <c r="BS38" s="829">
        <v>0</v>
      </c>
      <c r="BT38" s="830">
        <v>0</v>
      </c>
      <c r="BU38" s="831">
        <v>0</v>
      </c>
      <c r="BV38" s="829">
        <v>0</v>
      </c>
      <c r="BW38" s="830">
        <v>0</v>
      </c>
      <c r="BX38" s="831">
        <v>0</v>
      </c>
      <c r="BY38" s="829">
        <v>0</v>
      </c>
      <c r="BZ38" s="830">
        <v>0</v>
      </c>
      <c r="CA38" s="831">
        <v>0</v>
      </c>
    </row>
    <row r="39" spans="1:79" ht="16.5" customHeight="1" x14ac:dyDescent="0.2">
      <c r="A39" s="822">
        <v>13</v>
      </c>
      <c r="B39" s="837" t="s">
        <v>2226</v>
      </c>
      <c r="C39" s="824"/>
      <c r="D39" s="834"/>
      <c r="E39" s="835"/>
      <c r="F39" s="819"/>
      <c r="G39" s="836"/>
      <c r="H39" s="838">
        <v>2.4290506264375913</v>
      </c>
      <c r="I39" s="830">
        <v>0.03</v>
      </c>
      <c r="J39" s="831">
        <v>3.1199999999999999E-2</v>
      </c>
      <c r="K39" s="838">
        <v>2.4528648482654116</v>
      </c>
      <c r="L39" s="830">
        <v>0.03</v>
      </c>
      <c r="M39" s="831">
        <v>3.1199999999999999E-2</v>
      </c>
      <c r="N39" s="838">
        <v>2.4290506264375913</v>
      </c>
      <c r="O39" s="830">
        <v>0.03</v>
      </c>
      <c r="P39" s="831">
        <v>3.1199999999999999E-2</v>
      </c>
      <c r="Q39" s="838">
        <v>2.4528648482654116</v>
      </c>
      <c r="R39" s="830">
        <v>0.03</v>
      </c>
      <c r="S39" s="831">
        <v>3.1199999999999999E-2</v>
      </c>
      <c r="T39" s="838">
        <v>2.3338310950554066</v>
      </c>
      <c r="U39" s="830">
        <v>2.8799999999999999E-2</v>
      </c>
      <c r="V39" s="831">
        <v>0.03</v>
      </c>
      <c r="W39" s="838">
        <v>2.2605603724712227</v>
      </c>
      <c r="X39" s="830">
        <v>2.8799999999999999E-2</v>
      </c>
      <c r="Y39" s="831">
        <v>2.76E-2</v>
      </c>
      <c r="Z39" s="838">
        <v>2.1686798665898643</v>
      </c>
      <c r="AA39" s="830">
        <v>2.8799999999999999E-2</v>
      </c>
      <c r="AB39" s="831">
        <v>2.52E-2</v>
      </c>
      <c r="AC39" s="832">
        <v>2.2359737555450869</v>
      </c>
      <c r="AD39" s="830">
        <v>2.8799999999999999E-2</v>
      </c>
      <c r="AE39" s="831">
        <v>2.64E-2</v>
      </c>
      <c r="AF39" s="838">
        <v>2.458995770384226</v>
      </c>
      <c r="AG39" s="830">
        <v>3.4799999999999998E-2</v>
      </c>
      <c r="AH39" s="831">
        <v>2.52E-2</v>
      </c>
      <c r="AI39" s="838">
        <v>2.4348879687137925</v>
      </c>
      <c r="AJ39" s="830">
        <v>3.4799999999999998E-2</v>
      </c>
      <c r="AK39" s="831">
        <v>2.52E-2</v>
      </c>
      <c r="AL39" s="838">
        <v>2.3624582241747603</v>
      </c>
      <c r="AM39" s="830">
        <v>3.1199999999999999E-2</v>
      </c>
      <c r="AN39" s="831">
        <v>2.64E-2</v>
      </c>
      <c r="AO39" s="838">
        <v>2.2728017636271205</v>
      </c>
      <c r="AP39" s="830">
        <v>3.1199999999999999E-2</v>
      </c>
      <c r="AQ39" s="831">
        <v>2.52E-2</v>
      </c>
      <c r="AR39" s="838">
        <v>2.3840057173069007</v>
      </c>
      <c r="AS39" s="830">
        <v>3.1199999999999999E-2</v>
      </c>
      <c r="AT39" s="831">
        <v>2.76E-2</v>
      </c>
      <c r="AU39" s="838">
        <v>2.1858406175708187</v>
      </c>
      <c r="AV39" s="830">
        <v>2.76E-2</v>
      </c>
      <c r="AW39" s="831">
        <v>2.64E-2</v>
      </c>
      <c r="AX39" s="838">
        <v>2.145550188539572</v>
      </c>
      <c r="AY39" s="830">
        <v>2.8799999999999999E-2</v>
      </c>
      <c r="AZ39" s="831">
        <v>2.4E-2</v>
      </c>
      <c r="BA39" s="838">
        <v>2.0219066640351593</v>
      </c>
      <c r="BB39" s="830">
        <v>2.64E-2</v>
      </c>
      <c r="BC39" s="831">
        <v>2.4E-2</v>
      </c>
      <c r="BD39" s="832">
        <v>2.198749237371779</v>
      </c>
      <c r="BE39" s="830">
        <v>0.03</v>
      </c>
      <c r="BF39" s="831">
        <v>2.4E-2</v>
      </c>
      <c r="BG39" s="838">
        <v>2.1389450927576172</v>
      </c>
      <c r="BH39" s="830">
        <v>2.76E-2</v>
      </c>
      <c r="BI39" s="831">
        <v>2.52E-2</v>
      </c>
      <c r="BJ39" s="838">
        <v>2.1367388569020607</v>
      </c>
      <c r="BK39" s="830">
        <v>2.64E-2</v>
      </c>
      <c r="BL39" s="831">
        <v>2.64E-2</v>
      </c>
      <c r="BM39" s="838">
        <v>2.1644108075946344</v>
      </c>
      <c r="BN39" s="830">
        <v>2.76E-2</v>
      </c>
      <c r="BO39" s="831">
        <v>2.64E-2</v>
      </c>
      <c r="BP39" s="838">
        <v>2.3081350218942052</v>
      </c>
      <c r="BQ39" s="830">
        <v>2.8799999999999999E-2</v>
      </c>
      <c r="BR39" s="831">
        <v>2.8799999999999999E-2</v>
      </c>
      <c r="BS39" s="838">
        <v>2.3081350218942052</v>
      </c>
      <c r="BT39" s="830">
        <v>2.8799999999999999E-2</v>
      </c>
      <c r="BU39" s="831">
        <v>2.8799999999999999E-2</v>
      </c>
      <c r="BV39" s="838">
        <v>2.4062299915612559</v>
      </c>
      <c r="BW39" s="830">
        <v>2.8799999999999999E-2</v>
      </c>
      <c r="BX39" s="831">
        <v>3.1199999999999999E-2</v>
      </c>
      <c r="BY39" s="838">
        <v>2.4528648482654116</v>
      </c>
      <c r="BZ39" s="830">
        <v>0.03</v>
      </c>
      <c r="CA39" s="831">
        <v>3.1199999999999999E-2</v>
      </c>
    </row>
    <row r="40" spans="1:79" ht="16.5" customHeight="1" x14ac:dyDescent="0.2">
      <c r="A40" s="822">
        <v>14</v>
      </c>
      <c r="B40" s="839" t="s">
        <v>2227</v>
      </c>
      <c r="C40" s="840"/>
      <c r="D40" s="834"/>
      <c r="E40" s="835"/>
      <c r="F40" s="819"/>
      <c r="G40" s="836"/>
      <c r="H40" s="838">
        <v>7.4847751082669074</v>
      </c>
      <c r="I40" s="830">
        <v>0.126</v>
      </c>
      <c r="J40" s="831">
        <v>3.9600000000000003E-2</v>
      </c>
      <c r="K40" s="838">
        <v>7.4374563538922649</v>
      </c>
      <c r="L40" s="830">
        <v>0.12720000000000001</v>
      </c>
      <c r="M40" s="831">
        <v>3.7199999999999997E-2</v>
      </c>
      <c r="N40" s="838">
        <v>7.2437690875716152</v>
      </c>
      <c r="O40" s="830">
        <v>0.1236</v>
      </c>
      <c r="P40" s="831">
        <v>3.7199999999999997E-2</v>
      </c>
      <c r="Q40" s="838">
        <v>7.3996439353882053</v>
      </c>
      <c r="R40" s="830">
        <v>0.12479999999999999</v>
      </c>
      <c r="S40" s="831">
        <v>3.8399999999999997E-2</v>
      </c>
      <c r="T40" s="838">
        <v>7.295478235778396</v>
      </c>
      <c r="U40" s="830">
        <v>0.1236</v>
      </c>
      <c r="V40" s="831">
        <v>3.5999999999999997E-2</v>
      </c>
      <c r="W40" s="838">
        <v>7.2827180907077045</v>
      </c>
      <c r="X40" s="830">
        <v>0.12239999999999999</v>
      </c>
      <c r="Y40" s="831">
        <v>3.4799999999999998E-2</v>
      </c>
      <c r="Z40" s="838">
        <v>7.6225263620276387</v>
      </c>
      <c r="AA40" s="830">
        <v>0.12959999999999999</v>
      </c>
      <c r="AB40" s="831">
        <v>3.5999999999999997E-2</v>
      </c>
      <c r="AC40" s="832">
        <v>7.3821004549384011</v>
      </c>
      <c r="AD40" s="830">
        <v>0.126</v>
      </c>
      <c r="AE40" s="831">
        <v>2.76E-2</v>
      </c>
      <c r="AF40" s="838">
        <v>7.5310635378451236</v>
      </c>
      <c r="AG40" s="830">
        <v>0.12839999999999999</v>
      </c>
      <c r="AH40" s="831">
        <v>2.8799999999999999E-2</v>
      </c>
      <c r="AI40" s="838">
        <v>7.5463918933726939</v>
      </c>
      <c r="AJ40" s="830">
        <v>0.12839999999999999</v>
      </c>
      <c r="AK40" s="831">
        <v>0.03</v>
      </c>
      <c r="AL40" s="838">
        <v>7.6564259476572998</v>
      </c>
      <c r="AM40" s="830">
        <v>0.13200000000000001</v>
      </c>
      <c r="AN40" s="831">
        <v>2.8799999999999999E-2</v>
      </c>
      <c r="AO40" s="838">
        <v>7.5386441442789929</v>
      </c>
      <c r="AP40" s="830">
        <v>0.12959999999999999</v>
      </c>
      <c r="AQ40" s="831">
        <v>0.03</v>
      </c>
      <c r="AR40" s="838">
        <v>7.5542708341374043</v>
      </c>
      <c r="AS40" s="830">
        <v>0.12959999999999999</v>
      </c>
      <c r="AT40" s="831">
        <v>3.1199999999999999E-2</v>
      </c>
      <c r="AU40" s="838">
        <v>7.88495507141013</v>
      </c>
      <c r="AV40" s="830">
        <v>0.13439999999999999</v>
      </c>
      <c r="AW40" s="831">
        <v>3.5999999999999997E-2</v>
      </c>
      <c r="AX40" s="838">
        <v>7.9810689613777761</v>
      </c>
      <c r="AY40" s="830">
        <v>0.13439999999999999</v>
      </c>
      <c r="AZ40" s="831">
        <v>3.7199999999999997E-2</v>
      </c>
      <c r="BA40" s="838">
        <v>8.0472786133204064</v>
      </c>
      <c r="BB40" s="830">
        <v>0.1356</v>
      </c>
      <c r="BC40" s="831">
        <v>3.7199999999999997E-2</v>
      </c>
      <c r="BD40" s="832">
        <v>7.6799009204471087</v>
      </c>
      <c r="BE40" s="830">
        <v>0.12959999999999999</v>
      </c>
      <c r="BF40" s="831">
        <v>3.4799999999999998E-2</v>
      </c>
      <c r="BG40" s="838">
        <v>7.5473293527721621</v>
      </c>
      <c r="BH40" s="830">
        <v>0.12720000000000001</v>
      </c>
      <c r="BI40" s="831">
        <v>3.4799999999999998E-2</v>
      </c>
      <c r="BJ40" s="838">
        <v>7.4836559549252</v>
      </c>
      <c r="BK40" s="830">
        <v>0.12839999999999999</v>
      </c>
      <c r="BL40" s="831">
        <v>3.5999999999999997E-2</v>
      </c>
      <c r="BM40" s="838">
        <v>7.4915685026428642</v>
      </c>
      <c r="BN40" s="830">
        <v>0.12720000000000001</v>
      </c>
      <c r="BO40" s="831">
        <v>3.5999999999999997E-2</v>
      </c>
      <c r="BP40" s="838">
        <v>7.6410081789337747</v>
      </c>
      <c r="BQ40" s="830">
        <v>0.12959999999999999</v>
      </c>
      <c r="BR40" s="831">
        <v>3.7199999999999997E-2</v>
      </c>
      <c r="BS40" s="838">
        <v>7.5188410842325535</v>
      </c>
      <c r="BT40" s="830">
        <v>0.126</v>
      </c>
      <c r="BU40" s="831">
        <v>3.7199999999999997E-2</v>
      </c>
      <c r="BV40" s="838">
        <v>7.4836559549252</v>
      </c>
      <c r="BW40" s="830">
        <v>0.12839999999999999</v>
      </c>
      <c r="BX40" s="831">
        <v>3.5999999999999997E-2</v>
      </c>
      <c r="BY40" s="838">
        <v>7.5103725926559166</v>
      </c>
      <c r="BZ40" s="830">
        <v>0.12720000000000001</v>
      </c>
      <c r="CA40" s="831">
        <v>3.7199999999999997E-2</v>
      </c>
    </row>
    <row r="41" spans="1:79" ht="16.5" customHeight="1" x14ac:dyDescent="0.2">
      <c r="A41" s="841">
        <v>15</v>
      </c>
      <c r="B41" s="842" t="s">
        <v>17</v>
      </c>
      <c r="C41" s="824"/>
      <c r="D41" s="843"/>
      <c r="E41" s="844"/>
      <c r="F41" s="830"/>
      <c r="G41" s="845"/>
      <c r="H41" s="838">
        <v>0.69758603715558765</v>
      </c>
      <c r="I41" s="830">
        <v>1.2120000000000001E-2</v>
      </c>
      <c r="J41" s="831">
        <v>2.7599999999999999E-3</v>
      </c>
      <c r="K41" s="838">
        <v>2.3309929909457381</v>
      </c>
      <c r="L41" s="830">
        <v>4.104E-2</v>
      </c>
      <c r="M41" s="831">
        <v>2.7599999999999999E-3</v>
      </c>
      <c r="N41" s="838">
        <v>0.69758603715558765</v>
      </c>
      <c r="O41" s="830">
        <v>1.2120000000000001E-2</v>
      </c>
      <c r="P41" s="831">
        <v>2.7599999999999999E-3</v>
      </c>
      <c r="Q41" s="838">
        <v>2.7118966535506774</v>
      </c>
      <c r="R41" s="830">
        <v>4.7759999999999997E-2</v>
      </c>
      <c r="S41" s="831">
        <v>3.0000000000000001E-3</v>
      </c>
      <c r="T41" s="838">
        <v>0.94329475521058415</v>
      </c>
      <c r="U41" s="830">
        <v>1.6559999999999998E-2</v>
      </c>
      <c r="V41" s="831">
        <v>2.8800000000000002E-3</v>
      </c>
      <c r="W41" s="838">
        <v>2.6775392210282263</v>
      </c>
      <c r="X41" s="830">
        <v>4.7160000000000001E-2</v>
      </c>
      <c r="Y41" s="831">
        <v>2.8800000000000002E-3</v>
      </c>
      <c r="Z41" s="838">
        <v>0.93687807408606738</v>
      </c>
      <c r="AA41" s="830">
        <v>1.6320000000000001E-2</v>
      </c>
      <c r="AB41" s="831">
        <v>2.64E-3</v>
      </c>
      <c r="AC41" s="832">
        <v>2.6762160272510109</v>
      </c>
      <c r="AD41" s="830">
        <v>4.6679999999999999E-2</v>
      </c>
      <c r="AE41" s="831">
        <v>2.7599999999999999E-3</v>
      </c>
      <c r="AF41" s="838">
        <v>0.70990630341212335</v>
      </c>
      <c r="AG41" s="830">
        <v>1.2120000000000001E-2</v>
      </c>
      <c r="AH41" s="831">
        <v>2.64E-3</v>
      </c>
      <c r="AI41" s="838">
        <v>2.4060858440731892</v>
      </c>
      <c r="AJ41" s="830">
        <v>4.2360000000000002E-2</v>
      </c>
      <c r="AK41" s="831">
        <v>2.8800000000000002E-3</v>
      </c>
      <c r="AL41" s="838">
        <v>0.70345657130789663</v>
      </c>
      <c r="AM41" s="830">
        <v>1.188E-2</v>
      </c>
      <c r="AN41" s="831">
        <v>2.64E-3</v>
      </c>
      <c r="AO41" s="838">
        <v>2.4060858440731892</v>
      </c>
      <c r="AP41" s="830">
        <v>4.2360000000000002E-2</v>
      </c>
      <c r="AQ41" s="831">
        <v>2.8800000000000002E-3</v>
      </c>
      <c r="AR41" s="838">
        <v>0.69649165476029373</v>
      </c>
      <c r="AS41" s="830">
        <v>1.188E-2</v>
      </c>
      <c r="AT41" s="831">
        <v>2.64E-3</v>
      </c>
      <c r="AU41" s="838">
        <v>1.7583825593979969</v>
      </c>
      <c r="AV41" s="830">
        <v>3.0599999999999999E-2</v>
      </c>
      <c r="AW41" s="831">
        <v>2.7599999999999999E-3</v>
      </c>
      <c r="AX41" s="838">
        <v>2.3403677895135311</v>
      </c>
      <c r="AY41" s="830">
        <v>4.0800000000000003E-2</v>
      </c>
      <c r="AZ41" s="831">
        <v>2.7599999999999999E-3</v>
      </c>
      <c r="BA41" s="838">
        <v>0.67639279950283349</v>
      </c>
      <c r="BB41" s="830">
        <v>1.1639999999999999E-2</v>
      </c>
      <c r="BC41" s="831">
        <v>2.64E-3</v>
      </c>
      <c r="BD41" s="832">
        <v>2.4088930362016714</v>
      </c>
      <c r="BE41" s="830">
        <v>4.2000000000000003E-2</v>
      </c>
      <c r="BF41" s="831">
        <v>2.7599999999999999E-3</v>
      </c>
      <c r="BG41" s="838">
        <v>2.4162048144406993</v>
      </c>
      <c r="BH41" s="830">
        <v>4.2119999999999998E-2</v>
      </c>
      <c r="BI41" s="831">
        <v>2.8800000000000002E-3</v>
      </c>
      <c r="BJ41" s="838">
        <v>1.2803130362270647</v>
      </c>
      <c r="BK41" s="830">
        <v>2.2200000000000001E-2</v>
      </c>
      <c r="BL41" s="831">
        <v>2.7599999999999999E-3</v>
      </c>
      <c r="BM41" s="838">
        <v>0.68302642798992019</v>
      </c>
      <c r="BN41" s="830">
        <v>1.176E-2</v>
      </c>
      <c r="BO41" s="831">
        <v>2.64E-3</v>
      </c>
      <c r="BP41" s="838">
        <v>2.4264404736999592</v>
      </c>
      <c r="BQ41" s="830">
        <v>4.2720000000000001E-2</v>
      </c>
      <c r="BR41" s="831">
        <v>2.8800000000000002E-3</v>
      </c>
      <c r="BS41" s="838">
        <v>2.0940950819670618</v>
      </c>
      <c r="BT41" s="830">
        <v>3.6839999999999998E-2</v>
      </c>
      <c r="BU41" s="831">
        <v>2.8800000000000002E-3</v>
      </c>
      <c r="BV41" s="838">
        <v>0.69779609383667329</v>
      </c>
      <c r="BW41" s="830">
        <v>1.2E-2</v>
      </c>
      <c r="BX41" s="831">
        <v>2.7599999999999999E-3</v>
      </c>
      <c r="BY41" s="838">
        <v>2.4734982678822015</v>
      </c>
      <c r="BZ41" s="830">
        <v>4.3560000000000001E-2</v>
      </c>
      <c r="CA41" s="831">
        <v>2.7599999999999999E-3</v>
      </c>
    </row>
    <row r="42" spans="1:79" ht="16.5" customHeight="1" thickBot="1" x14ac:dyDescent="0.25">
      <c r="A42" s="841">
        <v>16</v>
      </c>
      <c r="B42" s="842" t="s">
        <v>18</v>
      </c>
      <c r="C42" s="824"/>
      <c r="D42" s="834"/>
      <c r="E42" s="835"/>
      <c r="F42" s="819"/>
      <c r="G42" s="836"/>
      <c r="H42" s="838">
        <v>4.915208657439087</v>
      </c>
      <c r="I42" s="830">
        <v>8.616E-2</v>
      </c>
      <c r="J42" s="831">
        <v>9.9600000000000001E-3</v>
      </c>
      <c r="K42" s="838">
        <v>4.8674881850367644</v>
      </c>
      <c r="L42" s="830">
        <v>8.616E-2</v>
      </c>
      <c r="M42" s="831">
        <v>9.9600000000000001E-3</v>
      </c>
      <c r="N42" s="838">
        <v>4.8741780808975301</v>
      </c>
      <c r="O42" s="830">
        <v>8.6279999999999996E-2</v>
      </c>
      <c r="P42" s="831">
        <v>9.9600000000000001E-3</v>
      </c>
      <c r="Q42" s="838">
        <v>4.9084532984352078</v>
      </c>
      <c r="R42" s="846">
        <v>8.6040000000000005E-2</v>
      </c>
      <c r="S42" s="847">
        <v>9.9600000000000001E-3</v>
      </c>
      <c r="T42" s="838">
        <v>4.8806514652546449</v>
      </c>
      <c r="U42" s="830">
        <v>8.5559999999999997E-2</v>
      </c>
      <c r="V42" s="831">
        <v>9.8399999999999998E-3</v>
      </c>
      <c r="W42" s="838">
        <v>4.8796528642621695</v>
      </c>
      <c r="X42" s="830">
        <v>8.4720000000000004E-2</v>
      </c>
      <c r="Y42" s="831">
        <v>9.5999999999999992E-3</v>
      </c>
      <c r="Z42" s="838">
        <v>4.7762301580658981</v>
      </c>
      <c r="AA42" s="830">
        <v>8.3760000000000001E-2</v>
      </c>
      <c r="AB42" s="831">
        <v>9.3600000000000003E-3</v>
      </c>
      <c r="AC42" s="832">
        <v>4.5720781485748043</v>
      </c>
      <c r="AD42" s="830">
        <v>7.9680000000000001E-2</v>
      </c>
      <c r="AE42" s="831">
        <v>5.7600000000000004E-3</v>
      </c>
      <c r="AF42" s="838">
        <v>4.5505546058301407</v>
      </c>
      <c r="AG42" s="830">
        <v>7.9320000000000002E-2</v>
      </c>
      <c r="AH42" s="831">
        <v>5.5199999999999997E-3</v>
      </c>
      <c r="AI42" s="838">
        <v>4.5574057995654851</v>
      </c>
      <c r="AJ42" s="830">
        <v>7.9439999999999997E-2</v>
      </c>
      <c r="AK42" s="831">
        <v>5.5199999999999997E-3</v>
      </c>
      <c r="AL42" s="838">
        <v>4.8262060241869493</v>
      </c>
      <c r="AM42" s="830">
        <v>8.4959999999999994E-2</v>
      </c>
      <c r="AN42" s="831">
        <v>5.8799999999999998E-3</v>
      </c>
      <c r="AO42" s="838">
        <v>4.8262060241869493</v>
      </c>
      <c r="AP42" s="830">
        <v>8.4959999999999994E-2</v>
      </c>
      <c r="AQ42" s="831">
        <v>5.8799999999999998E-3</v>
      </c>
      <c r="AR42" s="838">
        <v>4.8397744746745781</v>
      </c>
      <c r="AS42" s="830">
        <v>8.5199999999999998E-2</v>
      </c>
      <c r="AT42" s="831">
        <v>5.8799999999999998E-3</v>
      </c>
      <c r="AU42" s="838">
        <v>4.847031070732549</v>
      </c>
      <c r="AV42" s="830">
        <v>8.5319999999999993E-2</v>
      </c>
      <c r="AW42" s="831">
        <v>6.0000000000000001E-3</v>
      </c>
      <c r="AX42" s="838">
        <v>4.6131782915350898</v>
      </c>
      <c r="AY42" s="830">
        <v>8.0399999999999999E-2</v>
      </c>
      <c r="AZ42" s="831">
        <v>5.7600000000000004E-3</v>
      </c>
      <c r="BA42" s="838">
        <v>4.6126926187480937</v>
      </c>
      <c r="BB42" s="830">
        <v>8.0399999999999999E-2</v>
      </c>
      <c r="BC42" s="831">
        <v>5.64E-3</v>
      </c>
      <c r="BD42" s="832">
        <v>4.6195435468643078</v>
      </c>
      <c r="BE42" s="830">
        <v>8.0519999999999994E-2</v>
      </c>
      <c r="BF42" s="831">
        <v>5.64E-3</v>
      </c>
      <c r="BG42" s="838">
        <v>4.5505546058301407</v>
      </c>
      <c r="BH42" s="830">
        <v>7.9320000000000002E-2</v>
      </c>
      <c r="BI42" s="831">
        <v>5.5199999999999997E-3</v>
      </c>
      <c r="BJ42" s="838">
        <v>4.489067257321472</v>
      </c>
      <c r="BK42" s="830">
        <v>7.9799999999999996E-2</v>
      </c>
      <c r="BL42" s="831">
        <v>5.5199999999999997E-3</v>
      </c>
      <c r="BM42" s="838">
        <v>4.5471191540004137</v>
      </c>
      <c r="BN42" s="830">
        <v>8.004E-2</v>
      </c>
      <c r="BO42" s="831">
        <v>5.64E-3</v>
      </c>
      <c r="BP42" s="838">
        <v>4.5674701420937005</v>
      </c>
      <c r="BQ42" s="830">
        <v>8.0399999999999999E-2</v>
      </c>
      <c r="BR42" s="831">
        <v>5.64E-3</v>
      </c>
      <c r="BS42" s="838">
        <v>4.6474298486181471</v>
      </c>
      <c r="BT42" s="830">
        <v>8.1000000000000003E-2</v>
      </c>
      <c r="BU42" s="831">
        <v>5.7600000000000004E-3</v>
      </c>
      <c r="BV42" s="838">
        <v>4.5840585776193645</v>
      </c>
      <c r="BW42" s="830">
        <v>8.1479999999999997E-2</v>
      </c>
      <c r="BX42" s="831">
        <v>5.7600000000000004E-3</v>
      </c>
      <c r="BY42" s="838">
        <v>4.6498333772530964</v>
      </c>
      <c r="BZ42" s="830">
        <v>8.1839999999999996E-2</v>
      </c>
      <c r="CA42" s="831">
        <v>5.8799999999999998E-3</v>
      </c>
    </row>
    <row r="43" spans="1:79" ht="16.5" customHeight="1" x14ac:dyDescent="0.2">
      <c r="A43" s="848" t="s">
        <v>2154</v>
      </c>
      <c r="B43" s="849"/>
      <c r="C43" s="850"/>
      <c r="D43" s="851"/>
      <c r="E43" s="852"/>
      <c r="F43" s="851"/>
      <c r="G43" s="853"/>
      <c r="H43" s="854">
        <v>445.00370390708093</v>
      </c>
      <c r="I43" s="855">
        <v>7.8245200000000006</v>
      </c>
      <c r="J43" s="856">
        <v>1.21116</v>
      </c>
      <c r="K43" s="854">
        <v>446.99079227685974</v>
      </c>
      <c r="L43" s="855">
        <v>7.7834399999999997</v>
      </c>
      <c r="M43" s="856">
        <v>1.2047599999999998</v>
      </c>
      <c r="N43" s="854">
        <v>443.44466517100159</v>
      </c>
      <c r="O43" s="855">
        <v>7.7973200000000009</v>
      </c>
      <c r="P43" s="856">
        <v>1.2099600000000001</v>
      </c>
      <c r="Q43" s="854">
        <v>464.02166096021926</v>
      </c>
      <c r="R43" s="857">
        <v>8.0809599999999993</v>
      </c>
      <c r="S43" s="858">
        <v>1.2441999999999998</v>
      </c>
      <c r="T43" s="854">
        <v>513.70506897928522</v>
      </c>
      <c r="U43" s="855">
        <v>9.0457599999999996</v>
      </c>
      <c r="V43" s="856">
        <v>1.3260799999999999</v>
      </c>
      <c r="W43" s="854">
        <v>585.36647329078187</v>
      </c>
      <c r="X43" s="855">
        <v>10.206759999999999</v>
      </c>
      <c r="Y43" s="856">
        <v>1.5124799999999998</v>
      </c>
      <c r="Z43" s="854">
        <v>625.71396680973862</v>
      </c>
      <c r="AA43" s="855">
        <v>10.876719999999999</v>
      </c>
      <c r="AB43" s="856">
        <v>1.8218399999999999</v>
      </c>
      <c r="AC43" s="859">
        <v>627.62048846780783</v>
      </c>
      <c r="AD43" s="855">
        <v>10.820680000000001</v>
      </c>
      <c r="AE43" s="856">
        <v>1.7047600000000001</v>
      </c>
      <c r="AF43" s="854">
        <v>627.40766846049257</v>
      </c>
      <c r="AG43" s="855">
        <v>10.81972</v>
      </c>
      <c r="AH43" s="856">
        <v>1.6994400000000001</v>
      </c>
      <c r="AI43" s="854">
        <v>630.65265518219462</v>
      </c>
      <c r="AJ43" s="855">
        <v>10.985560000000001</v>
      </c>
      <c r="AK43" s="856">
        <v>1.7140799999999998</v>
      </c>
      <c r="AL43" s="854">
        <v>620.61328853339398</v>
      </c>
      <c r="AM43" s="855">
        <v>10.611080000000001</v>
      </c>
      <c r="AN43" s="856">
        <v>1.5582399999999998</v>
      </c>
      <c r="AO43" s="854">
        <v>603.99965767573053</v>
      </c>
      <c r="AP43" s="855">
        <v>10.515960000000002</v>
      </c>
      <c r="AQ43" s="856">
        <v>1.6580800000000002</v>
      </c>
      <c r="AR43" s="854">
        <v>624.59234460482469</v>
      </c>
      <c r="AS43" s="855">
        <v>10.765079999999999</v>
      </c>
      <c r="AT43" s="856">
        <v>1.72184</v>
      </c>
      <c r="AU43" s="854">
        <v>653.81187657682312</v>
      </c>
      <c r="AV43" s="855">
        <v>11.231399999999999</v>
      </c>
      <c r="AW43" s="856">
        <v>2.0027599999999999</v>
      </c>
      <c r="AX43" s="854">
        <v>673.34883535804613</v>
      </c>
      <c r="AY43" s="855">
        <v>11.590400000000002</v>
      </c>
      <c r="AZ43" s="856">
        <v>1.9559600000000001</v>
      </c>
      <c r="BA43" s="854">
        <v>656.71351992427924</v>
      </c>
      <c r="BB43" s="855">
        <v>11.426440000000001</v>
      </c>
      <c r="BC43" s="856">
        <v>1.85504</v>
      </c>
      <c r="BD43" s="859">
        <v>652.32904691841873</v>
      </c>
      <c r="BE43" s="855">
        <v>11.267199999999999</v>
      </c>
      <c r="BF43" s="856">
        <v>1.65276</v>
      </c>
      <c r="BG43" s="854">
        <v>642.41982884073718</v>
      </c>
      <c r="BH43" s="855">
        <v>11.10332</v>
      </c>
      <c r="BI43" s="856">
        <v>1.5680799999999999</v>
      </c>
      <c r="BJ43" s="854">
        <v>621.60973595720225</v>
      </c>
      <c r="BK43" s="855">
        <v>10.7502</v>
      </c>
      <c r="BL43" s="856">
        <v>1.4563600000000001</v>
      </c>
      <c r="BM43" s="854">
        <v>597.93099384552318</v>
      </c>
      <c r="BN43" s="855">
        <v>10.452159999999999</v>
      </c>
      <c r="BO43" s="856">
        <v>1.3498399999999999</v>
      </c>
      <c r="BP43" s="854">
        <v>571.51007996509929</v>
      </c>
      <c r="BQ43" s="855">
        <v>9.9887199999999989</v>
      </c>
      <c r="BR43" s="856">
        <v>1.2924799999999999</v>
      </c>
      <c r="BS43" s="854">
        <v>532.0840007599727</v>
      </c>
      <c r="BT43" s="855">
        <v>9.2936399999999999</v>
      </c>
      <c r="BU43" s="856">
        <v>1.2508799999999998</v>
      </c>
      <c r="BV43" s="854">
        <v>493.4028496065169</v>
      </c>
      <c r="BW43" s="855">
        <v>8.6028000000000002</v>
      </c>
      <c r="BX43" s="856">
        <v>1.2551600000000001</v>
      </c>
      <c r="BY43" s="854">
        <v>469.66925735182087</v>
      </c>
      <c r="BZ43" s="855">
        <v>8.1843599999999981</v>
      </c>
      <c r="CA43" s="856">
        <v>1.22916</v>
      </c>
    </row>
    <row r="44" spans="1:79" ht="16.5" customHeight="1" thickBot="1" x14ac:dyDescent="0.25">
      <c r="A44" s="860" t="s">
        <v>2155</v>
      </c>
      <c r="B44" s="861"/>
      <c r="C44" s="862"/>
      <c r="D44" s="863"/>
      <c r="E44" s="864"/>
      <c r="F44" s="865"/>
      <c r="G44" s="866"/>
      <c r="H44" s="867">
        <v>417.76104450031846</v>
      </c>
      <c r="I44" s="868">
        <v>7.3025599999999997</v>
      </c>
      <c r="J44" s="869">
        <v>0.96555999999999986</v>
      </c>
      <c r="K44" s="867">
        <v>410.92216278383961</v>
      </c>
      <c r="L44" s="868">
        <v>7.2521599999999999</v>
      </c>
      <c r="M44" s="869">
        <v>0.90755999999999992</v>
      </c>
      <c r="N44" s="867">
        <v>410.31582360929224</v>
      </c>
      <c r="O44" s="868">
        <v>7.2414800000000001</v>
      </c>
      <c r="P44" s="869">
        <v>0.90635999999999994</v>
      </c>
      <c r="Q44" s="867">
        <v>422.55659740610446</v>
      </c>
      <c r="R44" s="868">
        <v>7.3872399999999985</v>
      </c>
      <c r="S44" s="869">
        <v>0.92636000000000007</v>
      </c>
      <c r="T44" s="867">
        <v>461.27596942846162</v>
      </c>
      <c r="U44" s="868">
        <v>8.0679599999999994</v>
      </c>
      <c r="V44" s="869">
        <v>0.99583999999999995</v>
      </c>
      <c r="W44" s="867">
        <v>507.46394866371304</v>
      </c>
      <c r="X44" s="868">
        <v>8.7883200000000006</v>
      </c>
      <c r="Y44" s="869">
        <v>1.1132000000000002</v>
      </c>
      <c r="Z44" s="867">
        <v>534.4825241527659</v>
      </c>
      <c r="AA44" s="868">
        <v>9.3269600000000015</v>
      </c>
      <c r="AB44" s="869">
        <v>1.3045600000000002</v>
      </c>
      <c r="AC44" s="870">
        <v>524.02951561034752</v>
      </c>
      <c r="AD44" s="868">
        <v>9.0568799999999978</v>
      </c>
      <c r="AE44" s="869">
        <v>1.2285600000000001</v>
      </c>
      <c r="AF44" s="867">
        <v>545.66998995958386</v>
      </c>
      <c r="AG44" s="868">
        <v>9.4225199999999987</v>
      </c>
      <c r="AH44" s="869">
        <v>1.32792</v>
      </c>
      <c r="AI44" s="867">
        <v>544.94736107225867</v>
      </c>
      <c r="AJ44" s="868">
        <v>9.4102399999999999</v>
      </c>
      <c r="AK44" s="869">
        <v>1.3215199999999998</v>
      </c>
      <c r="AL44" s="867">
        <v>535.16558190858711</v>
      </c>
      <c r="AM44" s="868">
        <v>9.3441600000000005</v>
      </c>
      <c r="AN44" s="869">
        <v>1.23068</v>
      </c>
      <c r="AO44" s="867">
        <v>532.04734686040729</v>
      </c>
      <c r="AP44" s="868">
        <v>9.2881600000000013</v>
      </c>
      <c r="AQ44" s="869">
        <v>1.2574800000000002</v>
      </c>
      <c r="AR44" s="867">
        <v>539.06311845158518</v>
      </c>
      <c r="AS44" s="868">
        <v>9.4008000000000003</v>
      </c>
      <c r="AT44" s="869">
        <v>1.33588</v>
      </c>
      <c r="AU44" s="867">
        <v>564.42514726549211</v>
      </c>
      <c r="AV44" s="868">
        <v>9.82212</v>
      </c>
      <c r="AW44" s="869">
        <v>1.5108000000000001</v>
      </c>
      <c r="AX44" s="867">
        <v>586.70925734365767</v>
      </c>
      <c r="AY44" s="868">
        <v>10.113599999999998</v>
      </c>
      <c r="AZ44" s="869">
        <v>1.58308</v>
      </c>
      <c r="BA44" s="867">
        <v>577.91917066415067</v>
      </c>
      <c r="BB44" s="868">
        <v>9.9776000000000007</v>
      </c>
      <c r="BC44" s="869">
        <v>1.4536399999999998</v>
      </c>
      <c r="BD44" s="870">
        <v>575.07431987822235</v>
      </c>
      <c r="BE44" s="868">
        <v>9.9481199999999994</v>
      </c>
      <c r="BF44" s="869">
        <v>1.3320399999999999</v>
      </c>
      <c r="BG44" s="867">
        <v>566.13362637276805</v>
      </c>
      <c r="BH44" s="868">
        <v>9.8085199999999979</v>
      </c>
      <c r="BI44" s="869">
        <v>1.1959199999999999</v>
      </c>
      <c r="BJ44" s="867">
        <v>538.40092816640595</v>
      </c>
      <c r="BK44" s="868">
        <v>9.5229999999999997</v>
      </c>
      <c r="BL44" s="869">
        <v>1.0951200000000001</v>
      </c>
      <c r="BM44" s="867">
        <v>535.99057680467433</v>
      </c>
      <c r="BN44" s="868">
        <v>9.3888400000000019</v>
      </c>
      <c r="BO44" s="869">
        <v>1.0616399999999999</v>
      </c>
      <c r="BP44" s="867">
        <v>509.71773762990097</v>
      </c>
      <c r="BQ44" s="868">
        <v>8.9228000000000005</v>
      </c>
      <c r="BR44" s="869">
        <v>1.0340399999999998</v>
      </c>
      <c r="BS44" s="867">
        <v>482.80608394121003</v>
      </c>
      <c r="BT44" s="868">
        <v>8.3645999999999994</v>
      </c>
      <c r="BU44" s="869">
        <v>1.00376</v>
      </c>
      <c r="BV44" s="867">
        <v>438.81840702301378</v>
      </c>
      <c r="BW44" s="868">
        <v>7.7486799999999993</v>
      </c>
      <c r="BX44" s="869">
        <v>0.96936</v>
      </c>
      <c r="BY44" s="867">
        <v>425.57318788893292</v>
      </c>
      <c r="BZ44" s="868">
        <v>7.4378399999999987</v>
      </c>
      <c r="CA44" s="869">
        <v>0.93588000000000005</v>
      </c>
    </row>
    <row r="45" spans="1:79" ht="16.5" customHeight="1" thickBot="1" x14ac:dyDescent="0.25">
      <c r="A45" s="871" t="s">
        <v>2156</v>
      </c>
      <c r="B45" s="751"/>
      <c r="C45" s="872"/>
      <c r="D45" s="873"/>
      <c r="E45" s="874"/>
      <c r="F45" s="873"/>
      <c r="G45" s="875"/>
      <c r="H45" s="876">
        <v>862.76474840739934</v>
      </c>
      <c r="I45" s="877">
        <v>15.127079999999999</v>
      </c>
      <c r="J45" s="878">
        <v>2.17672</v>
      </c>
      <c r="K45" s="876">
        <v>857.91295506069935</v>
      </c>
      <c r="L45" s="877">
        <v>15.035599999999999</v>
      </c>
      <c r="M45" s="878">
        <v>2.1123199999999995</v>
      </c>
      <c r="N45" s="876">
        <v>853.76048878029383</v>
      </c>
      <c r="O45" s="877">
        <v>15.038800000000002</v>
      </c>
      <c r="P45" s="878">
        <v>2.11632</v>
      </c>
      <c r="Q45" s="876">
        <v>886.57825836632378</v>
      </c>
      <c r="R45" s="877">
        <v>15.468199999999998</v>
      </c>
      <c r="S45" s="878">
        <v>2.17056</v>
      </c>
      <c r="T45" s="876">
        <v>974.98103840774684</v>
      </c>
      <c r="U45" s="877">
        <v>17.113720000000001</v>
      </c>
      <c r="V45" s="878">
        <v>2.32192</v>
      </c>
      <c r="W45" s="876">
        <v>1092.8304219544948</v>
      </c>
      <c r="X45" s="877">
        <v>18.995080000000002</v>
      </c>
      <c r="Y45" s="878">
        <v>2.62568</v>
      </c>
      <c r="Z45" s="876">
        <v>1160.1964909625044</v>
      </c>
      <c r="AA45" s="877">
        <v>20.203679999999999</v>
      </c>
      <c r="AB45" s="878">
        <v>3.1264000000000003</v>
      </c>
      <c r="AC45" s="879">
        <v>1151.6500040781552</v>
      </c>
      <c r="AD45" s="877">
        <v>19.877559999999999</v>
      </c>
      <c r="AE45" s="878">
        <v>2.9333200000000001</v>
      </c>
      <c r="AF45" s="876">
        <v>1173.0776584200764</v>
      </c>
      <c r="AG45" s="877">
        <v>20.242239999999999</v>
      </c>
      <c r="AH45" s="878">
        <v>3.0273599999999998</v>
      </c>
      <c r="AI45" s="876">
        <v>1175.6000162544533</v>
      </c>
      <c r="AJ45" s="877">
        <v>20.395800000000001</v>
      </c>
      <c r="AK45" s="878">
        <v>3.0355999999999996</v>
      </c>
      <c r="AL45" s="876">
        <v>1155.7788704419811</v>
      </c>
      <c r="AM45" s="877">
        <v>19.955240000000003</v>
      </c>
      <c r="AN45" s="878">
        <v>2.7889200000000001</v>
      </c>
      <c r="AO45" s="876">
        <v>1136.0470045361378</v>
      </c>
      <c r="AP45" s="877">
        <v>19.804120000000005</v>
      </c>
      <c r="AQ45" s="878">
        <v>2.9155600000000002</v>
      </c>
      <c r="AR45" s="876">
        <v>1163.6554630564099</v>
      </c>
      <c r="AS45" s="877">
        <v>20.165880000000001</v>
      </c>
      <c r="AT45" s="878">
        <v>3.0577199999999998</v>
      </c>
      <c r="AU45" s="876">
        <v>1218.2370238423152</v>
      </c>
      <c r="AV45" s="877">
        <v>21.053519999999999</v>
      </c>
      <c r="AW45" s="878">
        <v>3.51356</v>
      </c>
      <c r="AX45" s="876">
        <v>1260.0580927017038</v>
      </c>
      <c r="AY45" s="877">
        <v>21.704000000000001</v>
      </c>
      <c r="AZ45" s="878">
        <v>3.53904</v>
      </c>
      <c r="BA45" s="876">
        <v>1234.6326905884298</v>
      </c>
      <c r="BB45" s="877">
        <v>21.404040000000002</v>
      </c>
      <c r="BC45" s="878">
        <v>3.3086799999999998</v>
      </c>
      <c r="BD45" s="879">
        <v>1227.403366796641</v>
      </c>
      <c r="BE45" s="877">
        <v>21.215319999999998</v>
      </c>
      <c r="BF45" s="878">
        <v>2.9847999999999999</v>
      </c>
      <c r="BG45" s="876">
        <v>1208.5534552135052</v>
      </c>
      <c r="BH45" s="877">
        <v>20.911839999999998</v>
      </c>
      <c r="BI45" s="878">
        <v>2.7639999999999998</v>
      </c>
      <c r="BJ45" s="876">
        <v>1160.0106641236082</v>
      </c>
      <c r="BK45" s="877">
        <v>20.273199999999999</v>
      </c>
      <c r="BL45" s="878">
        <v>2.5514800000000002</v>
      </c>
      <c r="BM45" s="876">
        <v>1133.9215706501975</v>
      </c>
      <c r="BN45" s="877">
        <v>19.841000000000001</v>
      </c>
      <c r="BO45" s="878">
        <v>2.4114800000000001</v>
      </c>
      <c r="BP45" s="876">
        <v>1081.2278175950003</v>
      </c>
      <c r="BQ45" s="877">
        <v>18.911519999999999</v>
      </c>
      <c r="BR45" s="878">
        <v>2.3265199999999995</v>
      </c>
      <c r="BS45" s="876">
        <v>1014.8900847011828</v>
      </c>
      <c r="BT45" s="877">
        <v>17.658239999999999</v>
      </c>
      <c r="BU45" s="878">
        <v>2.2546399999999998</v>
      </c>
      <c r="BV45" s="876">
        <v>932.22125662953067</v>
      </c>
      <c r="BW45" s="877">
        <v>16.351479999999999</v>
      </c>
      <c r="BX45" s="878">
        <v>2.2245200000000001</v>
      </c>
      <c r="BY45" s="876">
        <v>895.2424452407538</v>
      </c>
      <c r="BZ45" s="877">
        <v>15.622199999999996</v>
      </c>
      <c r="CA45" s="878">
        <v>2.1650400000000003</v>
      </c>
    </row>
    <row r="46" spans="1:79" ht="16.5" customHeight="1" x14ac:dyDescent="0.2">
      <c r="A46" s="880"/>
      <c r="B46" s="730"/>
      <c r="C46" s="881"/>
      <c r="D46" s="882"/>
      <c r="E46" s="883"/>
      <c r="F46" s="882"/>
      <c r="G46" s="883"/>
      <c r="H46" s="884"/>
      <c r="I46" s="882"/>
      <c r="J46" s="882"/>
      <c r="K46" s="884"/>
      <c r="L46" s="882"/>
      <c r="M46" s="882"/>
      <c r="N46" s="884"/>
      <c r="O46" s="882"/>
      <c r="P46" s="882"/>
      <c r="Q46" s="884"/>
      <c r="R46" s="882"/>
      <c r="S46" s="882"/>
      <c r="T46" s="884"/>
      <c r="U46" s="882"/>
      <c r="V46" s="882"/>
      <c r="W46" s="884"/>
      <c r="X46" s="882"/>
      <c r="Y46" s="882"/>
      <c r="Z46" s="884"/>
      <c r="AA46" s="882"/>
      <c r="AB46" s="885"/>
      <c r="AC46" s="886"/>
      <c r="AD46" s="882"/>
      <c r="AE46" s="882"/>
      <c r="AF46" s="884"/>
      <c r="AG46" s="882"/>
      <c r="AH46" s="882"/>
      <c r="AI46" s="884"/>
      <c r="AJ46" s="882"/>
      <c r="AK46" s="882"/>
      <c r="AL46" s="884"/>
      <c r="AM46" s="882"/>
      <c r="AN46" s="882"/>
      <c r="AO46" s="884"/>
      <c r="AP46" s="882"/>
      <c r="AQ46" s="882"/>
      <c r="AR46" s="884"/>
      <c r="AS46" s="882"/>
      <c r="AT46" s="882"/>
      <c r="AU46" s="884"/>
      <c r="AV46" s="882"/>
      <c r="AW46" s="882"/>
      <c r="AX46" s="884"/>
      <c r="AY46" s="882"/>
      <c r="AZ46" s="882"/>
      <c r="BA46" s="884"/>
      <c r="BB46" s="882"/>
      <c r="BC46" s="885"/>
      <c r="BD46" s="886"/>
      <c r="BE46" s="882"/>
      <c r="BF46" s="882"/>
      <c r="BG46" s="884"/>
      <c r="BH46" s="882"/>
      <c r="BI46" s="882"/>
      <c r="BJ46" s="884"/>
      <c r="BK46" s="882"/>
      <c r="BL46" s="882"/>
      <c r="BM46" s="884"/>
      <c r="BN46" s="882"/>
      <c r="BO46" s="882"/>
      <c r="BP46" s="884"/>
      <c r="BQ46" s="882"/>
      <c r="BR46" s="882"/>
      <c r="BS46" s="884"/>
      <c r="BT46" s="882"/>
      <c r="BU46" s="882"/>
      <c r="BV46" s="884"/>
      <c r="BW46" s="882"/>
      <c r="BX46" s="882"/>
      <c r="BY46" s="884"/>
      <c r="BZ46" s="882"/>
      <c r="CA46" s="885"/>
    </row>
    <row r="47" spans="1:79" ht="16.5" customHeight="1" thickBot="1" x14ac:dyDescent="0.25">
      <c r="A47" s="784"/>
      <c r="B47" s="656"/>
      <c r="C47" s="656"/>
      <c r="D47" s="656"/>
      <c r="E47" s="887"/>
      <c r="F47" s="656"/>
      <c r="G47" s="888"/>
      <c r="H47" s="889" t="s">
        <v>2157</v>
      </c>
      <c r="I47" s="890"/>
      <c r="J47" s="803"/>
      <c r="K47" s="891"/>
      <c r="L47" s="892"/>
      <c r="M47" s="892"/>
      <c r="N47" s="891"/>
      <c r="O47" s="892"/>
      <c r="P47" s="892"/>
      <c r="Q47" s="891"/>
      <c r="R47" s="892"/>
      <c r="S47" s="892"/>
      <c r="T47" s="891"/>
      <c r="U47" s="892"/>
      <c r="V47" s="892"/>
      <c r="W47" s="891"/>
      <c r="X47" s="892"/>
      <c r="Y47" s="892"/>
      <c r="Z47" s="891"/>
      <c r="AA47" s="892"/>
      <c r="AB47" s="893"/>
      <c r="AC47" s="894"/>
      <c r="AD47" s="892"/>
      <c r="AE47" s="892"/>
      <c r="AF47" s="891"/>
      <c r="AG47" s="892"/>
      <c r="AH47" s="892"/>
      <c r="AI47" s="891"/>
      <c r="AJ47" s="892"/>
      <c r="AK47" s="892"/>
      <c r="AL47" s="891"/>
      <c r="AM47" s="892"/>
      <c r="AN47" s="892"/>
      <c r="AO47" s="891"/>
      <c r="AP47" s="892"/>
      <c r="AQ47" s="892"/>
      <c r="AR47" s="891"/>
      <c r="AS47" s="892"/>
      <c r="AT47" s="892"/>
      <c r="AU47" s="891"/>
      <c r="AV47" s="892"/>
      <c r="AW47" s="892"/>
      <c r="AX47" s="891"/>
      <c r="AY47" s="892"/>
      <c r="AZ47" s="892"/>
      <c r="BA47" s="891"/>
      <c r="BB47" s="892"/>
      <c r="BC47" s="893"/>
      <c r="BD47" s="894"/>
      <c r="BE47" s="892"/>
      <c r="BF47" s="892"/>
      <c r="BG47" s="891"/>
      <c r="BH47" s="892"/>
      <c r="BI47" s="892"/>
      <c r="BJ47" s="891"/>
      <c r="BK47" s="892"/>
      <c r="BL47" s="892"/>
      <c r="BM47" s="891"/>
      <c r="BN47" s="892"/>
      <c r="BO47" s="892"/>
      <c r="BP47" s="891"/>
      <c r="BQ47" s="892"/>
      <c r="BR47" s="892"/>
      <c r="BS47" s="891"/>
      <c r="BT47" s="892"/>
      <c r="BU47" s="892"/>
      <c r="BV47" s="891"/>
      <c r="BW47" s="892"/>
      <c r="BX47" s="892"/>
      <c r="BY47" s="891"/>
      <c r="BZ47" s="892"/>
      <c r="CA47" s="893"/>
    </row>
    <row r="48" spans="1:79" ht="16.5" customHeight="1" x14ac:dyDescent="0.2">
      <c r="A48" s="895"/>
      <c r="B48" s="896" t="s">
        <v>2158</v>
      </c>
      <c r="C48" s="849"/>
      <c r="D48" s="897" t="s">
        <v>2159</v>
      </c>
      <c r="E48" s="849"/>
      <c r="F48" s="849"/>
      <c r="G48" s="780"/>
      <c r="H48" s="898">
        <v>2.3E-2</v>
      </c>
      <c r="I48" s="899" t="s">
        <v>2160</v>
      </c>
      <c r="J48" s="900">
        <v>0.16250000000000001</v>
      </c>
      <c r="K48" s="898">
        <v>2.3E-2</v>
      </c>
      <c r="L48" s="899" t="s">
        <v>2160</v>
      </c>
      <c r="M48" s="900">
        <v>0.16250000000000001</v>
      </c>
      <c r="N48" s="898">
        <v>2.3E-2</v>
      </c>
      <c r="O48" s="899" t="s">
        <v>2160</v>
      </c>
      <c r="P48" s="900">
        <v>0.16250000000000001</v>
      </c>
      <c r="Q48" s="898">
        <v>2.3E-2</v>
      </c>
      <c r="R48" s="899" t="s">
        <v>2160</v>
      </c>
      <c r="S48" s="900">
        <v>0.16250000000000001</v>
      </c>
      <c r="T48" s="898">
        <v>2.3E-2</v>
      </c>
      <c r="U48" s="899" t="s">
        <v>2160</v>
      </c>
      <c r="V48" s="900">
        <v>0.16250000000000001</v>
      </c>
      <c r="W48" s="898">
        <v>2.3E-2</v>
      </c>
      <c r="X48" s="899" t="s">
        <v>2160</v>
      </c>
      <c r="Y48" s="900">
        <v>0.16250000000000001</v>
      </c>
      <c r="Z48" s="898">
        <v>2.3E-2</v>
      </c>
      <c r="AA48" s="899" t="s">
        <v>2160</v>
      </c>
      <c r="AB48" s="900">
        <v>0.16250000000000001</v>
      </c>
      <c r="AC48" s="898">
        <v>2.3E-2</v>
      </c>
      <c r="AD48" s="899" t="s">
        <v>2160</v>
      </c>
      <c r="AE48" s="900">
        <v>0.16250000000000001</v>
      </c>
      <c r="AF48" s="898">
        <v>2.3E-2</v>
      </c>
      <c r="AG48" s="899" t="s">
        <v>2160</v>
      </c>
      <c r="AH48" s="900">
        <v>0.16250000000000001</v>
      </c>
      <c r="AI48" s="898">
        <v>2.3E-2</v>
      </c>
      <c r="AJ48" s="899" t="s">
        <v>2160</v>
      </c>
      <c r="AK48" s="900">
        <v>0.16250000000000001</v>
      </c>
      <c r="AL48" s="898">
        <v>2.3E-2</v>
      </c>
      <c r="AM48" s="899" t="s">
        <v>2160</v>
      </c>
      <c r="AN48" s="900">
        <v>0.16250000000000001</v>
      </c>
      <c r="AO48" s="898">
        <v>2.3E-2</v>
      </c>
      <c r="AP48" s="899" t="s">
        <v>2160</v>
      </c>
      <c r="AQ48" s="900">
        <v>0.16250000000000001</v>
      </c>
      <c r="AR48" s="898">
        <v>2.3E-2</v>
      </c>
      <c r="AS48" s="899" t="s">
        <v>2160</v>
      </c>
      <c r="AT48" s="900">
        <v>0.16250000000000001</v>
      </c>
      <c r="AU48" s="898">
        <v>2.3E-2</v>
      </c>
      <c r="AV48" s="899" t="s">
        <v>2160</v>
      </c>
      <c r="AW48" s="900">
        <v>0.16250000000000001</v>
      </c>
      <c r="AX48" s="898">
        <v>2.3E-2</v>
      </c>
      <c r="AY48" s="899" t="s">
        <v>2160</v>
      </c>
      <c r="AZ48" s="900">
        <v>0.16250000000000001</v>
      </c>
      <c r="BA48" s="898">
        <v>2.3E-2</v>
      </c>
      <c r="BB48" s="899" t="s">
        <v>2160</v>
      </c>
      <c r="BC48" s="900">
        <v>0.16250000000000001</v>
      </c>
      <c r="BD48" s="898">
        <v>2.3E-2</v>
      </c>
      <c r="BE48" s="899" t="s">
        <v>2160</v>
      </c>
      <c r="BF48" s="900">
        <v>0.16250000000000001</v>
      </c>
      <c r="BG48" s="898">
        <v>2.3E-2</v>
      </c>
      <c r="BH48" s="899" t="s">
        <v>2160</v>
      </c>
      <c r="BI48" s="900">
        <v>0.16250000000000001</v>
      </c>
      <c r="BJ48" s="898">
        <v>2.3E-2</v>
      </c>
      <c r="BK48" s="899" t="s">
        <v>2160</v>
      </c>
      <c r="BL48" s="900">
        <v>0.16250000000000001</v>
      </c>
      <c r="BM48" s="898">
        <v>2.3E-2</v>
      </c>
      <c r="BN48" s="899" t="s">
        <v>2160</v>
      </c>
      <c r="BO48" s="900">
        <v>0.16250000000000001</v>
      </c>
      <c r="BP48" s="898">
        <v>2.3E-2</v>
      </c>
      <c r="BQ48" s="899" t="s">
        <v>2160</v>
      </c>
      <c r="BR48" s="900">
        <v>0.16250000000000001</v>
      </c>
      <c r="BS48" s="898">
        <v>2.3E-2</v>
      </c>
      <c r="BT48" s="899" t="s">
        <v>2160</v>
      </c>
      <c r="BU48" s="900">
        <v>0.16250000000000001</v>
      </c>
      <c r="BV48" s="898">
        <v>2.3E-2</v>
      </c>
      <c r="BW48" s="899" t="s">
        <v>2160</v>
      </c>
      <c r="BX48" s="900">
        <v>0.16250000000000001</v>
      </c>
      <c r="BY48" s="898">
        <v>2.3E-2</v>
      </c>
      <c r="BZ48" s="899" t="s">
        <v>2160</v>
      </c>
      <c r="CA48" s="900">
        <v>0.16250000000000001</v>
      </c>
    </row>
    <row r="49" spans="1:81" ht="16.5" customHeight="1" thickBot="1" x14ac:dyDescent="0.25">
      <c r="A49" s="901" t="s">
        <v>12</v>
      </c>
      <c r="B49" s="902" t="s">
        <v>2161</v>
      </c>
      <c r="C49" s="903"/>
      <c r="D49" s="903" t="s">
        <v>2162</v>
      </c>
      <c r="E49" s="904"/>
      <c r="F49" s="905"/>
      <c r="G49" s="712"/>
      <c r="H49" s="906">
        <v>1.2411655900159999E-2</v>
      </c>
      <c r="I49" s="907" t="s">
        <v>2160</v>
      </c>
      <c r="J49" s="908">
        <v>0.25509905535999999</v>
      </c>
      <c r="K49" s="906">
        <v>1.2259292852223999E-2</v>
      </c>
      <c r="L49" s="907" t="s">
        <v>2160</v>
      </c>
      <c r="M49" s="908">
        <v>0.25196750950399999</v>
      </c>
      <c r="N49" s="906">
        <v>1.2304832629759999E-2</v>
      </c>
      <c r="O49" s="907" t="s">
        <v>2160</v>
      </c>
      <c r="P49" s="908">
        <v>0.25290349695999997</v>
      </c>
      <c r="Q49" s="906">
        <v>1.3124523191296001E-2</v>
      </c>
      <c r="R49" s="907" t="s">
        <v>2160</v>
      </c>
      <c r="S49" s="908">
        <v>0.26975074841600005</v>
      </c>
      <c r="T49" s="906">
        <v>1.6535644556287997E-2</v>
      </c>
      <c r="U49" s="907" t="s">
        <v>2160</v>
      </c>
      <c r="V49" s="908">
        <v>0.33986015564799993</v>
      </c>
      <c r="W49" s="906">
        <v>2.1067443764223998E-2</v>
      </c>
      <c r="X49" s="907" t="s">
        <v>2160</v>
      </c>
      <c r="Y49" s="908">
        <v>0.43300306150399992</v>
      </c>
      <c r="Z49" s="906">
        <v>2.4044392120320002E-2</v>
      </c>
      <c r="AA49" s="907" t="s">
        <v>2160</v>
      </c>
      <c r="AB49" s="908">
        <v>0.49418883072000008</v>
      </c>
      <c r="AC49" s="906">
        <v>2.3753794673664005E-2</v>
      </c>
      <c r="AD49" s="907" t="s">
        <v>2160</v>
      </c>
      <c r="AE49" s="908">
        <v>0.48821612774400008</v>
      </c>
      <c r="AF49" s="906">
        <v>2.3714066590720003E-2</v>
      </c>
      <c r="AG49" s="907" t="s">
        <v>2160</v>
      </c>
      <c r="AH49" s="908">
        <v>0.48739958912000009</v>
      </c>
      <c r="AI49" s="906">
        <v>2.4451032702976001E-2</v>
      </c>
      <c r="AJ49" s="907" t="s">
        <v>2160</v>
      </c>
      <c r="AK49" s="908">
        <v>0.50254658969600008</v>
      </c>
      <c r="AL49" s="906">
        <v>2.2776260013056E-2</v>
      </c>
      <c r="AM49" s="907" t="s">
        <v>2160</v>
      </c>
      <c r="AN49" s="908">
        <v>0.46812467737600011</v>
      </c>
      <c r="AO49" s="906">
        <v>2.2435341175808001E-2</v>
      </c>
      <c r="AP49" s="907" t="s">
        <v>2160</v>
      </c>
      <c r="AQ49" s="908">
        <v>0.46111770956800008</v>
      </c>
      <c r="AR49" s="906">
        <v>2.3451230477312002E-2</v>
      </c>
      <c r="AS49" s="907" t="s">
        <v>2160</v>
      </c>
      <c r="AT49" s="908">
        <v>0.48199746995200005</v>
      </c>
      <c r="AU49" s="906">
        <v>2.5755866233855999E-2</v>
      </c>
      <c r="AV49" s="907" t="s">
        <v>2160</v>
      </c>
      <c r="AW49" s="908">
        <v>0.52936507417599998</v>
      </c>
      <c r="AX49" s="906">
        <v>2.7347418509311997E-2</v>
      </c>
      <c r="AY49" s="907" t="s">
        <v>2160</v>
      </c>
      <c r="AZ49" s="908">
        <v>0.56207654195200007</v>
      </c>
      <c r="BA49" s="906">
        <v>2.6550224419839993E-2</v>
      </c>
      <c r="BB49" s="907" t="s">
        <v>2160</v>
      </c>
      <c r="BC49" s="908">
        <v>0.54569166463999996</v>
      </c>
      <c r="BD49" s="906">
        <v>2.5720220325887999E-2</v>
      </c>
      <c r="BE49" s="907" t="s">
        <v>2160</v>
      </c>
      <c r="BF49" s="908">
        <v>0.52863243724800002</v>
      </c>
      <c r="BG49" s="906">
        <v>2.4892734209024003E-2</v>
      </c>
      <c r="BH49" s="907" t="s">
        <v>2160</v>
      </c>
      <c r="BI49" s="908">
        <v>0.51162496230400012</v>
      </c>
      <c r="BJ49" s="906">
        <v>2.3328841530368002E-2</v>
      </c>
      <c r="BK49" s="907" t="s">
        <v>2160</v>
      </c>
      <c r="BL49" s="908">
        <v>0.47948198732800013</v>
      </c>
      <c r="BM49" s="906">
        <v>2.2024987212799996E-2</v>
      </c>
      <c r="BN49" s="907" t="s">
        <v>2160</v>
      </c>
      <c r="BO49" s="908">
        <v>0.45268362879999996</v>
      </c>
      <c r="BP49" s="906">
        <v>2.0077179330559997E-2</v>
      </c>
      <c r="BQ49" s="907" t="s">
        <v>2160</v>
      </c>
      <c r="BR49" s="908">
        <v>0.41264997376000001</v>
      </c>
      <c r="BS49" s="906">
        <v>1.745905542656E-2</v>
      </c>
      <c r="BT49" s="907" t="s">
        <v>2160</v>
      </c>
      <c r="BU49" s="908">
        <v>0.35883918976000007</v>
      </c>
      <c r="BV49" s="906">
        <v>1.4990318779392001E-2</v>
      </c>
      <c r="BW49" s="907" t="s">
        <v>2160</v>
      </c>
      <c r="BX49" s="908">
        <v>0.3080987896320001</v>
      </c>
      <c r="BY49" s="906">
        <v>1.3566262848511996E-2</v>
      </c>
      <c r="BZ49" s="907" t="s">
        <v>2160</v>
      </c>
      <c r="CA49" s="908">
        <v>0.27882990515199996</v>
      </c>
    </row>
    <row r="50" spans="1:81" ht="16.5" customHeight="1" x14ac:dyDescent="0.2">
      <c r="A50" s="728"/>
      <c r="B50" s="909" t="s">
        <v>2228</v>
      </c>
      <c r="C50" s="910">
        <v>23</v>
      </c>
      <c r="D50" s="911"/>
      <c r="E50" s="911"/>
      <c r="F50" s="912" t="s">
        <v>2229</v>
      </c>
      <c r="G50" s="913">
        <v>162.5</v>
      </c>
      <c r="H50" s="701"/>
      <c r="I50" s="702"/>
      <c r="J50" s="914"/>
      <c r="K50" s="915"/>
      <c r="L50" s="916"/>
      <c r="M50" s="917"/>
      <c r="N50" s="918"/>
      <c r="O50" s="919"/>
      <c r="P50" s="914"/>
      <c r="Q50" s="915"/>
      <c r="R50" s="916"/>
      <c r="S50" s="920"/>
      <c r="T50" s="915"/>
      <c r="U50" s="916"/>
      <c r="V50" s="920"/>
      <c r="W50" s="915"/>
      <c r="X50" s="916"/>
      <c r="Y50" s="920"/>
      <c r="Z50" s="915"/>
      <c r="AA50" s="916"/>
      <c r="AB50" s="920"/>
      <c r="AC50" s="921"/>
      <c r="AD50" s="916"/>
      <c r="AE50" s="920"/>
      <c r="AF50" s="915"/>
      <c r="AG50" s="916"/>
      <c r="AH50" s="920"/>
      <c r="AI50" s="915"/>
      <c r="AJ50" s="916"/>
      <c r="AK50" s="920"/>
      <c r="AL50" s="915"/>
      <c r="AM50" s="916"/>
      <c r="AN50" s="920"/>
      <c r="AO50" s="915"/>
      <c r="AP50" s="916"/>
      <c r="AQ50" s="920"/>
      <c r="AR50" s="915"/>
      <c r="AS50" s="916"/>
      <c r="AT50" s="920"/>
      <c r="AU50" s="915"/>
      <c r="AV50" s="916"/>
      <c r="AW50" s="920"/>
      <c r="AX50" s="915"/>
      <c r="AY50" s="916"/>
      <c r="AZ50" s="920"/>
      <c r="BA50" s="915"/>
      <c r="BB50" s="916"/>
      <c r="BC50" s="920"/>
      <c r="BD50" s="921"/>
      <c r="BE50" s="916"/>
      <c r="BF50" s="920"/>
      <c r="BG50" s="915"/>
      <c r="BH50" s="916"/>
      <c r="BI50" s="920"/>
      <c r="BJ50" s="915"/>
      <c r="BK50" s="916"/>
      <c r="BL50" s="920"/>
      <c r="BM50" s="915"/>
      <c r="BN50" s="916"/>
      <c r="BO50" s="920"/>
      <c r="BP50" s="915"/>
      <c r="BQ50" s="916"/>
      <c r="BR50" s="920"/>
      <c r="BS50" s="915"/>
      <c r="BT50" s="916"/>
      <c r="BU50" s="920"/>
      <c r="BV50" s="915"/>
      <c r="BW50" s="916"/>
      <c r="BX50" s="920"/>
      <c r="BY50" s="915"/>
      <c r="BZ50" s="916"/>
      <c r="CA50" s="920"/>
    </row>
    <row r="51" spans="1:81" ht="16.5" customHeight="1" thickBot="1" x14ac:dyDescent="0.25">
      <c r="A51" s="728"/>
      <c r="B51" s="922"/>
      <c r="C51" s="923"/>
      <c r="D51" s="924"/>
      <c r="E51" s="925" t="s">
        <v>2165</v>
      </c>
      <c r="F51" s="926"/>
      <c r="G51" s="927">
        <v>124.19</v>
      </c>
      <c r="H51" s="795"/>
      <c r="I51" s="928"/>
      <c r="J51" s="929"/>
      <c r="K51" s="930"/>
      <c r="L51" s="930"/>
      <c r="M51" s="930"/>
      <c r="N51" s="795" t="s">
        <v>2166</v>
      </c>
      <c r="O51" s="928">
        <v>10.210000000000001</v>
      </c>
      <c r="P51" s="929"/>
      <c r="Q51" s="930"/>
      <c r="R51" s="930"/>
      <c r="S51" s="931"/>
      <c r="T51" s="930"/>
      <c r="U51" s="930"/>
      <c r="V51" s="931"/>
      <c r="W51" s="930"/>
      <c r="X51" s="930"/>
      <c r="Y51" s="931"/>
      <c r="Z51" s="930"/>
      <c r="AA51" s="930"/>
      <c r="AB51" s="931"/>
      <c r="AC51" s="793"/>
      <c r="AD51" s="930"/>
      <c r="AE51" s="931"/>
      <c r="AF51" s="930"/>
      <c r="AG51" s="930"/>
      <c r="AH51" s="931"/>
      <c r="AI51" s="930"/>
      <c r="AJ51" s="930"/>
      <c r="AK51" s="931"/>
      <c r="AL51" s="930"/>
      <c r="AM51" s="930"/>
      <c r="AN51" s="931"/>
      <c r="AO51" s="930"/>
      <c r="AP51" s="930"/>
      <c r="AQ51" s="931"/>
      <c r="AR51" s="930"/>
      <c r="AS51" s="930"/>
      <c r="AT51" s="931"/>
      <c r="AU51" s="930"/>
      <c r="AV51" s="930"/>
      <c r="AW51" s="931"/>
      <c r="AX51" s="930"/>
      <c r="AY51" s="930"/>
      <c r="AZ51" s="931"/>
      <c r="BA51" s="930"/>
      <c r="BB51" s="930"/>
      <c r="BC51" s="931"/>
      <c r="BD51" s="793"/>
      <c r="BE51" s="930"/>
      <c r="BF51" s="931"/>
      <c r="BG51" s="930"/>
      <c r="BH51" s="930"/>
      <c r="BI51" s="931"/>
      <c r="BJ51" s="930"/>
      <c r="BK51" s="930"/>
      <c r="BL51" s="931"/>
      <c r="BM51" s="930"/>
      <c r="BN51" s="930"/>
      <c r="BO51" s="931"/>
      <c r="BP51" s="930"/>
      <c r="BQ51" s="930"/>
      <c r="BR51" s="931"/>
      <c r="BS51" s="930"/>
      <c r="BT51" s="930"/>
      <c r="BU51" s="931"/>
      <c r="BV51" s="930"/>
      <c r="BW51" s="930"/>
      <c r="BX51" s="931"/>
      <c r="BY51" s="930"/>
      <c r="BZ51" s="930"/>
      <c r="CA51" s="931"/>
    </row>
    <row r="52" spans="1:81" ht="16.5" customHeight="1" thickBot="1" x14ac:dyDescent="0.25">
      <c r="A52" s="932"/>
      <c r="B52" s="1339" t="s">
        <v>2167</v>
      </c>
      <c r="C52" s="1340"/>
      <c r="D52" s="1340"/>
      <c r="E52" s="1340"/>
      <c r="F52" s="1340"/>
      <c r="G52" s="1341"/>
      <c r="H52" s="933">
        <v>7.8434116559001597</v>
      </c>
      <c r="I52" s="934" t="s">
        <v>2160</v>
      </c>
      <c r="J52" s="935">
        <v>1.6415990553599999</v>
      </c>
      <c r="K52" s="933">
        <v>7.7952592928522231</v>
      </c>
      <c r="L52" s="934" t="s">
        <v>2160</v>
      </c>
      <c r="M52" s="935">
        <v>1.630467509504</v>
      </c>
      <c r="N52" s="933">
        <v>7.8113048326297596</v>
      </c>
      <c r="O52" s="934" t="s">
        <v>2160</v>
      </c>
      <c r="P52" s="935">
        <v>1.62340349696</v>
      </c>
      <c r="Q52" s="933">
        <v>8.0681245231912957</v>
      </c>
      <c r="R52" s="934" t="s">
        <v>2160</v>
      </c>
      <c r="S52" s="935">
        <v>1.6722507484160001</v>
      </c>
      <c r="T52" s="933">
        <v>9.0635356445562874</v>
      </c>
      <c r="U52" s="934" t="s">
        <v>2160</v>
      </c>
      <c r="V52" s="935">
        <v>1.838360155648</v>
      </c>
      <c r="W52" s="933">
        <v>10.228067443764223</v>
      </c>
      <c r="X52" s="934" t="s">
        <v>2160</v>
      </c>
      <c r="Y52" s="935">
        <v>2.115503061504</v>
      </c>
      <c r="Z52" s="933">
        <v>10.895044392120321</v>
      </c>
      <c r="AA52" s="934" t="s">
        <v>2160</v>
      </c>
      <c r="AB52" s="935">
        <v>2.4806888307200001</v>
      </c>
      <c r="AC52" s="933">
        <v>10.846753794673665</v>
      </c>
      <c r="AD52" s="934" t="s">
        <v>2160</v>
      </c>
      <c r="AE52" s="935">
        <v>2.3547161277440001</v>
      </c>
      <c r="AF52" s="933">
        <v>10.83871406659072</v>
      </c>
      <c r="AG52" s="934" t="s">
        <v>2160</v>
      </c>
      <c r="AH52" s="935">
        <v>2.3458995891200001</v>
      </c>
      <c r="AI52" s="933">
        <v>11.007451032702976</v>
      </c>
      <c r="AJ52" s="934" t="s">
        <v>2160</v>
      </c>
      <c r="AK52" s="935">
        <v>2.377046589696</v>
      </c>
      <c r="AL52" s="933">
        <v>10.637776260013057</v>
      </c>
      <c r="AM52" s="934" t="s">
        <v>2160</v>
      </c>
      <c r="AN52" s="935">
        <v>2.1906246773760003</v>
      </c>
      <c r="AO52" s="933">
        <v>10.541435341175807</v>
      </c>
      <c r="AP52" s="934" t="s">
        <v>2160</v>
      </c>
      <c r="AQ52" s="935">
        <v>2.2796177095679999</v>
      </c>
      <c r="AR52" s="933">
        <v>10.774451230477311</v>
      </c>
      <c r="AS52" s="934" t="s">
        <v>2160</v>
      </c>
      <c r="AT52" s="935">
        <v>2.356497469952</v>
      </c>
      <c r="AU52" s="933">
        <v>11.256755866233856</v>
      </c>
      <c r="AV52" s="934" t="s">
        <v>2160</v>
      </c>
      <c r="AW52" s="935">
        <v>2.691865074176</v>
      </c>
      <c r="AX52" s="933">
        <v>11.618347418509311</v>
      </c>
      <c r="AY52" s="934" t="s">
        <v>2160</v>
      </c>
      <c r="AZ52" s="935">
        <v>2.676576541952</v>
      </c>
      <c r="BA52" s="933">
        <v>11.457550224419839</v>
      </c>
      <c r="BB52" s="934" t="s">
        <v>2160</v>
      </c>
      <c r="BC52" s="935">
        <v>2.57219166464</v>
      </c>
      <c r="BD52" s="933">
        <v>11.304720220325889</v>
      </c>
      <c r="BE52" s="934" t="s">
        <v>2160</v>
      </c>
      <c r="BF52" s="935">
        <v>2.3471324372479998</v>
      </c>
      <c r="BG52" s="933">
        <v>11.127892734209023</v>
      </c>
      <c r="BH52" s="934" t="s">
        <v>2160</v>
      </c>
      <c r="BI52" s="935">
        <v>2.2581249623040005</v>
      </c>
      <c r="BJ52" s="933">
        <v>10.782328841530369</v>
      </c>
      <c r="BK52" s="934" t="s">
        <v>2160</v>
      </c>
      <c r="BL52" s="935">
        <v>2.1059819873280001</v>
      </c>
      <c r="BM52" s="933">
        <v>10.4850249872128</v>
      </c>
      <c r="BN52" s="934" t="s">
        <v>2160</v>
      </c>
      <c r="BO52" s="935">
        <v>1.9751836288000002</v>
      </c>
      <c r="BP52" s="933">
        <v>10.01107717933056</v>
      </c>
      <c r="BQ52" s="934" t="s">
        <v>2160</v>
      </c>
      <c r="BR52" s="935">
        <v>1.8711499737600001</v>
      </c>
      <c r="BS52" s="933">
        <v>9.3284590554265598</v>
      </c>
      <c r="BT52" s="934" t="s">
        <v>2160</v>
      </c>
      <c r="BU52" s="935">
        <v>1.7853391897600002</v>
      </c>
      <c r="BV52" s="933">
        <v>8.6299903187793916</v>
      </c>
      <c r="BW52" s="934" t="s">
        <v>2160</v>
      </c>
      <c r="BX52" s="935">
        <v>1.7425987896320003</v>
      </c>
      <c r="BY52" s="933">
        <v>8.2045662628485108</v>
      </c>
      <c r="BZ52" s="934" t="s">
        <v>2160</v>
      </c>
      <c r="CA52" s="935">
        <v>1.6893299051520001</v>
      </c>
    </row>
    <row r="53" spans="1:81" ht="16.5" customHeight="1" x14ac:dyDescent="0.2">
      <c r="A53" s="936"/>
      <c r="B53" s="896" t="s">
        <v>2158</v>
      </c>
      <c r="C53" s="849"/>
      <c r="D53" s="897" t="s">
        <v>2159</v>
      </c>
      <c r="E53" s="849"/>
      <c r="F53" s="849"/>
      <c r="G53" s="849"/>
      <c r="H53" s="898">
        <v>2.1999999999999999E-2</v>
      </c>
      <c r="I53" s="899" t="s">
        <v>2160</v>
      </c>
      <c r="J53" s="900">
        <v>0.16500000000000001</v>
      </c>
      <c r="K53" s="898">
        <v>2.1999999999999999E-2</v>
      </c>
      <c r="L53" s="899" t="s">
        <v>2160</v>
      </c>
      <c r="M53" s="900">
        <v>0.16500000000000001</v>
      </c>
      <c r="N53" s="898">
        <v>2.1999999999999999E-2</v>
      </c>
      <c r="O53" s="899" t="s">
        <v>2160</v>
      </c>
      <c r="P53" s="900">
        <v>0.16500000000000001</v>
      </c>
      <c r="Q53" s="898">
        <v>2.1999999999999999E-2</v>
      </c>
      <c r="R53" s="899" t="s">
        <v>2160</v>
      </c>
      <c r="S53" s="900">
        <v>0.16500000000000001</v>
      </c>
      <c r="T53" s="898">
        <v>2.1999999999999999E-2</v>
      </c>
      <c r="U53" s="899" t="s">
        <v>2160</v>
      </c>
      <c r="V53" s="900">
        <v>0.16500000000000001</v>
      </c>
      <c r="W53" s="898">
        <v>2.1999999999999999E-2</v>
      </c>
      <c r="X53" s="899" t="s">
        <v>2160</v>
      </c>
      <c r="Y53" s="900">
        <v>0.16500000000000001</v>
      </c>
      <c r="Z53" s="898">
        <v>2.1999999999999999E-2</v>
      </c>
      <c r="AA53" s="899" t="s">
        <v>2160</v>
      </c>
      <c r="AB53" s="900">
        <v>0.16500000000000001</v>
      </c>
      <c r="AC53" s="898">
        <v>2.1999999999999999E-2</v>
      </c>
      <c r="AD53" s="899" t="s">
        <v>2160</v>
      </c>
      <c r="AE53" s="900">
        <v>0.16500000000000001</v>
      </c>
      <c r="AF53" s="898">
        <v>2.1999999999999999E-2</v>
      </c>
      <c r="AG53" s="899" t="s">
        <v>2160</v>
      </c>
      <c r="AH53" s="900">
        <v>0.16500000000000001</v>
      </c>
      <c r="AI53" s="898">
        <v>2.1999999999999999E-2</v>
      </c>
      <c r="AJ53" s="899" t="s">
        <v>2160</v>
      </c>
      <c r="AK53" s="900">
        <v>0.16500000000000001</v>
      </c>
      <c r="AL53" s="898">
        <v>2.1999999999999999E-2</v>
      </c>
      <c r="AM53" s="899" t="s">
        <v>2160</v>
      </c>
      <c r="AN53" s="900">
        <v>0.16500000000000001</v>
      </c>
      <c r="AO53" s="898">
        <v>2.1999999999999999E-2</v>
      </c>
      <c r="AP53" s="899" t="s">
        <v>2160</v>
      </c>
      <c r="AQ53" s="900">
        <v>0.16500000000000001</v>
      </c>
      <c r="AR53" s="898">
        <v>2.1999999999999999E-2</v>
      </c>
      <c r="AS53" s="899" t="s">
        <v>2160</v>
      </c>
      <c r="AT53" s="900">
        <v>0.16500000000000001</v>
      </c>
      <c r="AU53" s="898">
        <v>2.1999999999999999E-2</v>
      </c>
      <c r="AV53" s="899" t="s">
        <v>2160</v>
      </c>
      <c r="AW53" s="900">
        <v>0.16500000000000001</v>
      </c>
      <c r="AX53" s="898">
        <v>2.1999999999999999E-2</v>
      </c>
      <c r="AY53" s="899" t="s">
        <v>2160</v>
      </c>
      <c r="AZ53" s="900">
        <v>0.16500000000000001</v>
      </c>
      <c r="BA53" s="898">
        <v>2.1999999999999999E-2</v>
      </c>
      <c r="BB53" s="899" t="s">
        <v>2160</v>
      </c>
      <c r="BC53" s="900">
        <v>0.16500000000000001</v>
      </c>
      <c r="BD53" s="898">
        <v>2.1999999999999999E-2</v>
      </c>
      <c r="BE53" s="899" t="s">
        <v>2160</v>
      </c>
      <c r="BF53" s="900">
        <v>0.16500000000000001</v>
      </c>
      <c r="BG53" s="898">
        <v>2.1999999999999999E-2</v>
      </c>
      <c r="BH53" s="899" t="s">
        <v>2160</v>
      </c>
      <c r="BI53" s="900">
        <v>0.16500000000000001</v>
      </c>
      <c r="BJ53" s="898">
        <v>2.1999999999999999E-2</v>
      </c>
      <c r="BK53" s="899" t="s">
        <v>2160</v>
      </c>
      <c r="BL53" s="900">
        <v>0.16500000000000001</v>
      </c>
      <c r="BM53" s="898">
        <v>2.1999999999999999E-2</v>
      </c>
      <c r="BN53" s="899" t="s">
        <v>2160</v>
      </c>
      <c r="BO53" s="900">
        <v>0.16500000000000001</v>
      </c>
      <c r="BP53" s="898">
        <v>2.1999999999999999E-2</v>
      </c>
      <c r="BQ53" s="899" t="s">
        <v>2160</v>
      </c>
      <c r="BR53" s="900">
        <v>0.16500000000000001</v>
      </c>
      <c r="BS53" s="898">
        <v>2.1999999999999999E-2</v>
      </c>
      <c r="BT53" s="899" t="s">
        <v>2160</v>
      </c>
      <c r="BU53" s="900">
        <v>0.16500000000000001</v>
      </c>
      <c r="BV53" s="898">
        <v>2.1999999999999999E-2</v>
      </c>
      <c r="BW53" s="899" t="s">
        <v>2160</v>
      </c>
      <c r="BX53" s="900">
        <v>0.16500000000000001</v>
      </c>
      <c r="BY53" s="898">
        <v>2.1999999999999999E-2</v>
      </c>
      <c r="BZ53" s="899" t="s">
        <v>2160</v>
      </c>
      <c r="CA53" s="900">
        <v>0.16500000000000001</v>
      </c>
    </row>
    <row r="54" spans="1:81" ht="16.5" customHeight="1" thickBot="1" x14ac:dyDescent="0.25">
      <c r="A54" s="937" t="s">
        <v>16</v>
      </c>
      <c r="B54" s="902" t="s">
        <v>2161</v>
      </c>
      <c r="C54" s="903"/>
      <c r="D54" s="903" t="s">
        <v>2162</v>
      </c>
      <c r="E54" s="904"/>
      <c r="F54" s="905"/>
      <c r="G54" s="938"/>
      <c r="H54" s="906">
        <v>1.0148665374719999E-2</v>
      </c>
      <c r="I54" s="907" t="s">
        <v>2160</v>
      </c>
      <c r="J54" s="908">
        <v>0.22105322495999999</v>
      </c>
      <c r="K54" s="906">
        <v>1.000893500928E-2</v>
      </c>
      <c r="L54" s="907" t="s">
        <v>2160</v>
      </c>
      <c r="M54" s="908">
        <v>0.21800968704000001</v>
      </c>
      <c r="N54" s="906">
        <v>9.9871266815999993E-3</v>
      </c>
      <c r="O54" s="907" t="s">
        <v>2160</v>
      </c>
      <c r="P54" s="908">
        <v>0.2175346688</v>
      </c>
      <c r="Q54" s="906">
        <v>1.0388931526656001E-2</v>
      </c>
      <c r="R54" s="907" t="s">
        <v>2160</v>
      </c>
      <c r="S54" s="908">
        <v>0.22628658380800001</v>
      </c>
      <c r="T54" s="906">
        <v>1.2367810722815998E-2</v>
      </c>
      <c r="U54" s="907" t="s">
        <v>2160</v>
      </c>
      <c r="V54" s="908">
        <v>0.26938955468800002</v>
      </c>
      <c r="W54" s="906">
        <v>1.4700588936192003E-2</v>
      </c>
      <c r="X54" s="907" t="s">
        <v>2160</v>
      </c>
      <c r="Y54" s="908">
        <v>0.32020097945600007</v>
      </c>
      <c r="Z54" s="906">
        <v>1.6614755997696001E-2</v>
      </c>
      <c r="AA54" s="907" t="s">
        <v>2160</v>
      </c>
      <c r="AB54" s="908">
        <v>0.36189442252800003</v>
      </c>
      <c r="AC54" s="906">
        <v>1.5636196399104001E-2</v>
      </c>
      <c r="AD54" s="907" t="s">
        <v>2160</v>
      </c>
      <c r="AE54" s="908">
        <v>0.34057991987199998</v>
      </c>
      <c r="AF54" s="906">
        <v>1.6961176147968E-2</v>
      </c>
      <c r="AG54" s="907" t="s">
        <v>2160</v>
      </c>
      <c r="AH54" s="908">
        <v>0.36943997542400003</v>
      </c>
      <c r="AI54" s="906">
        <v>1.690453490688E-2</v>
      </c>
      <c r="AJ54" s="907" t="s">
        <v>2160</v>
      </c>
      <c r="AK54" s="908">
        <v>0.36820624384</v>
      </c>
      <c r="AL54" s="906">
        <v>1.6636008545279999E-2</v>
      </c>
      <c r="AM54" s="907" t="s">
        <v>2160</v>
      </c>
      <c r="AN54" s="908">
        <v>0.36235733504000001</v>
      </c>
      <c r="AO54" s="906">
        <v>1.6475412261887999E-2</v>
      </c>
      <c r="AP54" s="907" t="s">
        <v>2160</v>
      </c>
      <c r="AQ54" s="908">
        <v>0.35885930598399995</v>
      </c>
      <c r="AR54" s="906">
        <v>1.690453490688E-2</v>
      </c>
      <c r="AS54" s="907" t="s">
        <v>2160</v>
      </c>
      <c r="AT54" s="908">
        <v>0.36820624384</v>
      </c>
      <c r="AU54" s="906">
        <v>1.8482889968639993E-2</v>
      </c>
      <c r="AV54" s="907" t="s">
        <v>2160</v>
      </c>
      <c r="AW54" s="908">
        <v>0.40258519551999994</v>
      </c>
      <c r="AX54" s="906">
        <v>1.9589713947648003E-2</v>
      </c>
      <c r="AY54" s="907" t="s">
        <v>2160</v>
      </c>
      <c r="AZ54" s="908">
        <v>0.426693489664</v>
      </c>
      <c r="BA54" s="906">
        <v>1.9042149731328003E-2</v>
      </c>
      <c r="BB54" s="907" t="s">
        <v>2160</v>
      </c>
      <c r="BC54" s="908">
        <v>0.41476671590399999</v>
      </c>
      <c r="BD54" s="906">
        <v>1.8888609438720002E-2</v>
      </c>
      <c r="BE54" s="907" t="s">
        <v>2160</v>
      </c>
      <c r="BF54" s="908">
        <v>0.41142237696</v>
      </c>
      <c r="BG54" s="906">
        <v>1.8324951763967999E-2</v>
      </c>
      <c r="BH54" s="907" t="s">
        <v>2160</v>
      </c>
      <c r="BI54" s="908">
        <v>0.39914506342399997</v>
      </c>
      <c r="BJ54" s="906">
        <v>1.7224833392639999E-2</v>
      </c>
      <c r="BK54" s="907" t="s">
        <v>2160</v>
      </c>
      <c r="BL54" s="908">
        <v>0.37518282751999998</v>
      </c>
      <c r="BM54" s="906">
        <v>1.6753012337663999E-2</v>
      </c>
      <c r="BN54" s="907" t="s">
        <v>2160</v>
      </c>
      <c r="BO54" s="908">
        <v>0.36490585395199993</v>
      </c>
      <c r="BP54" s="906">
        <v>1.5117472336896001E-2</v>
      </c>
      <c r="BQ54" s="907" t="s">
        <v>2160</v>
      </c>
      <c r="BR54" s="908">
        <v>0.32928132812799993</v>
      </c>
      <c r="BS54" s="906">
        <v>1.3313265159167999E-2</v>
      </c>
      <c r="BT54" s="907" t="s">
        <v>2160</v>
      </c>
      <c r="BU54" s="908">
        <v>0.28998297702400005</v>
      </c>
      <c r="BV54" s="906">
        <v>1.1451450166272E-2</v>
      </c>
      <c r="BW54" s="907" t="s">
        <v>2160</v>
      </c>
      <c r="BX54" s="908">
        <v>0.24942984089599998</v>
      </c>
      <c r="BY54" s="906">
        <v>1.0531271642112001E-2</v>
      </c>
      <c r="BZ54" s="907" t="s">
        <v>2160</v>
      </c>
      <c r="CA54" s="908">
        <v>0.229386966016</v>
      </c>
    </row>
    <row r="55" spans="1:81" ht="16.5" customHeight="1" x14ac:dyDescent="0.2">
      <c r="A55" s="939"/>
      <c r="B55" s="940" t="s">
        <v>2228</v>
      </c>
      <c r="C55" s="910">
        <v>22</v>
      </c>
      <c r="D55" s="911"/>
      <c r="E55" s="911"/>
      <c r="F55" s="912" t="s">
        <v>2229</v>
      </c>
      <c r="G55" s="913">
        <v>165</v>
      </c>
      <c r="H55" s="701"/>
      <c r="I55" s="702"/>
      <c r="J55" s="941"/>
      <c r="K55" s="942"/>
      <c r="L55" s="943"/>
      <c r="M55" s="944"/>
      <c r="N55" s="945"/>
      <c r="O55" s="946"/>
      <c r="P55" s="941"/>
      <c r="Q55" s="942"/>
      <c r="R55" s="943"/>
      <c r="S55" s="944"/>
      <c r="T55" s="942"/>
      <c r="U55" s="943"/>
      <c r="V55" s="944"/>
      <c r="W55" s="942"/>
      <c r="X55" s="943"/>
      <c r="Y55" s="944"/>
      <c r="Z55" s="942"/>
      <c r="AA55" s="943"/>
      <c r="AB55" s="944"/>
      <c r="AC55" s="947"/>
      <c r="AD55" s="943"/>
      <c r="AE55" s="944"/>
      <c r="AF55" s="942"/>
      <c r="AG55" s="943"/>
      <c r="AH55" s="944"/>
      <c r="AI55" s="942"/>
      <c r="AJ55" s="943"/>
      <c r="AK55" s="944"/>
      <c r="AL55" s="942"/>
      <c r="AM55" s="943"/>
      <c r="AN55" s="944"/>
      <c r="AO55" s="942"/>
      <c r="AP55" s="943"/>
      <c r="AQ55" s="944"/>
      <c r="AR55" s="942"/>
      <c r="AS55" s="943"/>
      <c r="AT55" s="944"/>
      <c r="AU55" s="942"/>
      <c r="AV55" s="943"/>
      <c r="AW55" s="944"/>
      <c r="AX55" s="942"/>
      <c r="AY55" s="943"/>
      <c r="AZ55" s="944"/>
      <c r="BA55" s="942"/>
      <c r="BB55" s="943"/>
      <c r="BC55" s="944"/>
      <c r="BD55" s="947"/>
      <c r="BE55" s="943"/>
      <c r="BF55" s="944"/>
      <c r="BG55" s="942"/>
      <c r="BH55" s="943"/>
      <c r="BI55" s="944"/>
      <c r="BJ55" s="942"/>
      <c r="BK55" s="943"/>
      <c r="BL55" s="944"/>
      <c r="BM55" s="942"/>
      <c r="BN55" s="943"/>
      <c r="BO55" s="944"/>
      <c r="BP55" s="942"/>
      <c r="BQ55" s="943"/>
      <c r="BR55" s="944"/>
      <c r="BS55" s="942"/>
      <c r="BT55" s="943"/>
      <c r="BU55" s="944"/>
      <c r="BV55" s="942"/>
      <c r="BW55" s="943"/>
      <c r="BX55" s="944"/>
      <c r="BY55" s="942"/>
      <c r="BZ55" s="943"/>
      <c r="CA55" s="944"/>
    </row>
    <row r="56" spans="1:81" ht="16.5" customHeight="1" thickBot="1" x14ac:dyDescent="0.25">
      <c r="A56" s="939"/>
      <c r="B56" s="948"/>
      <c r="C56" s="891"/>
      <c r="D56" s="888"/>
      <c r="E56" s="925" t="s">
        <v>2165</v>
      </c>
      <c r="F56" s="926"/>
      <c r="G56" s="949">
        <v>117.99</v>
      </c>
      <c r="H56" s="795"/>
      <c r="I56" s="928"/>
      <c r="J56" s="929"/>
      <c r="K56" s="930"/>
      <c r="L56" s="930"/>
      <c r="M56" s="931"/>
      <c r="N56" s="795" t="s">
        <v>2166</v>
      </c>
      <c r="O56" s="924">
        <v>10.28</v>
      </c>
      <c r="P56" s="929"/>
      <c r="Q56" s="930"/>
      <c r="R56" s="930"/>
      <c r="S56" s="950"/>
      <c r="T56" s="930"/>
      <c r="U56" s="930"/>
      <c r="V56" s="950"/>
      <c r="W56" s="930"/>
      <c r="X56" s="930"/>
      <c r="Y56" s="950"/>
      <c r="Z56" s="930"/>
      <c r="AA56" s="930"/>
      <c r="AB56" s="950"/>
      <c r="AC56" s="793"/>
      <c r="AD56" s="930"/>
      <c r="AE56" s="950"/>
      <c r="AF56" s="930"/>
      <c r="AG56" s="930"/>
      <c r="AH56" s="950"/>
      <c r="AI56" s="930"/>
      <c r="AJ56" s="930"/>
      <c r="AK56" s="950"/>
      <c r="AL56" s="930"/>
      <c r="AM56" s="930"/>
      <c r="AN56" s="950"/>
      <c r="AO56" s="930"/>
      <c r="AP56" s="930"/>
      <c r="AQ56" s="950"/>
      <c r="AR56" s="930"/>
      <c r="AS56" s="930"/>
      <c r="AT56" s="950"/>
      <c r="AU56" s="930"/>
      <c r="AV56" s="930"/>
      <c r="AW56" s="950"/>
      <c r="AX56" s="930"/>
      <c r="AY56" s="930"/>
      <c r="AZ56" s="950"/>
      <c r="BA56" s="930"/>
      <c r="BB56" s="930"/>
      <c r="BC56" s="950"/>
      <c r="BD56" s="793"/>
      <c r="BE56" s="930"/>
      <c r="BF56" s="950"/>
      <c r="BG56" s="930"/>
      <c r="BH56" s="930"/>
      <c r="BI56" s="950"/>
      <c r="BJ56" s="930"/>
      <c r="BK56" s="930"/>
      <c r="BL56" s="950"/>
      <c r="BM56" s="930"/>
      <c r="BN56" s="930"/>
      <c r="BO56" s="950"/>
      <c r="BP56" s="930"/>
      <c r="BQ56" s="930"/>
      <c r="BR56" s="950"/>
      <c r="BS56" s="930"/>
      <c r="BT56" s="930"/>
      <c r="BU56" s="950"/>
      <c r="BV56" s="930"/>
      <c r="BW56" s="930"/>
      <c r="BX56" s="950"/>
      <c r="BY56" s="930"/>
      <c r="BZ56" s="930"/>
      <c r="CA56" s="950"/>
    </row>
    <row r="57" spans="1:81" ht="16.5" customHeight="1" thickBot="1" x14ac:dyDescent="0.25">
      <c r="A57" s="771"/>
      <c r="B57" s="1339" t="s">
        <v>2167</v>
      </c>
      <c r="C57" s="1340"/>
      <c r="D57" s="1340"/>
      <c r="E57" s="1340"/>
      <c r="F57" s="1340"/>
      <c r="G57" s="1341"/>
      <c r="H57" s="951">
        <v>7.3041486653747203</v>
      </c>
      <c r="I57" s="952" t="s">
        <v>2160</v>
      </c>
      <c r="J57" s="953">
        <v>1.3220532249599999</v>
      </c>
      <c r="K57" s="951">
        <v>7.2560089350092802</v>
      </c>
      <c r="L57" s="952" t="s">
        <v>2160</v>
      </c>
      <c r="M57" s="953">
        <v>1.2950096870399999</v>
      </c>
      <c r="N57" s="951">
        <v>7.2479871266816005</v>
      </c>
      <c r="O57" s="952" t="s">
        <v>2160</v>
      </c>
      <c r="P57" s="953">
        <v>1.2945346687999999</v>
      </c>
      <c r="Q57" s="951">
        <v>7.3923889315266562</v>
      </c>
      <c r="R57" s="952" t="s">
        <v>2160</v>
      </c>
      <c r="S57" s="953">
        <v>1.3192865838079999</v>
      </c>
      <c r="T57" s="951">
        <v>8.0663678107228165</v>
      </c>
      <c r="U57" s="952" t="s">
        <v>2160</v>
      </c>
      <c r="V57" s="953">
        <v>1.4343895546880001</v>
      </c>
      <c r="W57" s="951">
        <v>8.7887005889361927</v>
      </c>
      <c r="X57" s="952" t="s">
        <v>2160</v>
      </c>
      <c r="Y57" s="953">
        <v>1.6132009794560001</v>
      </c>
      <c r="Z57" s="951">
        <v>9.3266147559976957</v>
      </c>
      <c r="AA57" s="952" t="s">
        <v>2160</v>
      </c>
      <c r="AB57" s="953">
        <v>1.8468944225280002</v>
      </c>
      <c r="AC57" s="951">
        <v>9.0536361963991041</v>
      </c>
      <c r="AD57" s="952" t="s">
        <v>2160</v>
      </c>
      <c r="AE57" s="953">
        <v>1.7455799198720001</v>
      </c>
      <c r="AF57" s="951">
        <v>9.4229611761479681</v>
      </c>
      <c r="AG57" s="952" t="s">
        <v>2160</v>
      </c>
      <c r="AH57" s="953">
        <v>1.8704399754240002</v>
      </c>
      <c r="AI57" s="951">
        <v>9.4069045349068805</v>
      </c>
      <c r="AJ57" s="952" t="s">
        <v>2160</v>
      </c>
      <c r="AK57" s="953">
        <v>1.8692062438400001</v>
      </c>
      <c r="AL57" s="951">
        <v>9.3426360085452806</v>
      </c>
      <c r="AM57" s="952" t="s">
        <v>2160</v>
      </c>
      <c r="AN57" s="953">
        <v>1.77535733504</v>
      </c>
      <c r="AO57" s="951">
        <v>9.2944754122618889</v>
      </c>
      <c r="AP57" s="952" t="s">
        <v>2160</v>
      </c>
      <c r="AQ57" s="953">
        <v>1.787859305984</v>
      </c>
      <c r="AR57" s="951">
        <v>9.4069045349068805</v>
      </c>
      <c r="AS57" s="952" t="s">
        <v>2160</v>
      </c>
      <c r="AT57" s="953">
        <v>1.8692062438400001</v>
      </c>
      <c r="AU57" s="951">
        <v>9.8164828899686398</v>
      </c>
      <c r="AV57" s="952" t="s">
        <v>2160</v>
      </c>
      <c r="AW57" s="953">
        <v>2.09558519552</v>
      </c>
      <c r="AX57" s="951">
        <v>10.105589713947648</v>
      </c>
      <c r="AY57" s="952" t="s">
        <v>2160</v>
      </c>
      <c r="AZ57" s="953">
        <v>2.1676934896639999</v>
      </c>
      <c r="BA57" s="951">
        <v>9.9770421497313286</v>
      </c>
      <c r="BB57" s="952" t="s">
        <v>2160</v>
      </c>
      <c r="BC57" s="953">
        <v>2.0437667159039998</v>
      </c>
      <c r="BD57" s="951">
        <v>9.9528886094387214</v>
      </c>
      <c r="BE57" s="952" t="s">
        <v>2160</v>
      </c>
      <c r="BF57" s="953">
        <v>1.9204223769600002</v>
      </c>
      <c r="BG57" s="951">
        <v>9.8163249517639688</v>
      </c>
      <c r="BH57" s="952" t="s">
        <v>2160</v>
      </c>
      <c r="BI57" s="953">
        <v>1.7881450634239999</v>
      </c>
      <c r="BJ57" s="951">
        <v>9.5272248333926406</v>
      </c>
      <c r="BK57" s="952" t="s">
        <v>2160</v>
      </c>
      <c r="BL57" s="953">
        <v>1.6441828275200001</v>
      </c>
      <c r="BM57" s="951">
        <v>9.3987530123376644</v>
      </c>
      <c r="BN57" s="952" t="s">
        <v>2160</v>
      </c>
      <c r="BO57" s="953">
        <v>1.5939058539520001</v>
      </c>
      <c r="BP57" s="951">
        <v>8.9251174723368969</v>
      </c>
      <c r="BQ57" s="952" t="s">
        <v>2160</v>
      </c>
      <c r="BR57" s="953">
        <v>1.5342813281279999</v>
      </c>
      <c r="BS57" s="951">
        <v>8.3713132651591682</v>
      </c>
      <c r="BT57" s="952" t="s">
        <v>2160</v>
      </c>
      <c r="BU57" s="953">
        <v>1.4709829770240002</v>
      </c>
      <c r="BV57" s="951">
        <v>7.7614514501662724</v>
      </c>
      <c r="BW57" s="952" t="s">
        <v>2160</v>
      </c>
      <c r="BX57" s="953">
        <v>1.3824298408960001</v>
      </c>
      <c r="BY57" s="951">
        <v>7.4405312716421124</v>
      </c>
      <c r="BZ57" s="952" t="s">
        <v>2160</v>
      </c>
      <c r="CA57" s="953">
        <v>1.3463869660159999</v>
      </c>
    </row>
    <row r="58" spans="1:81" ht="16.5" customHeight="1" x14ac:dyDescent="0.2">
      <c r="A58" s="954" t="s">
        <v>2168</v>
      </c>
      <c r="B58" s="955"/>
      <c r="C58" s="956"/>
      <c r="D58" s="957"/>
      <c r="E58" s="702"/>
      <c r="F58" s="656"/>
      <c r="G58" s="709"/>
      <c r="H58" s="958"/>
      <c r="I58" s="959"/>
      <c r="J58" s="960"/>
      <c r="K58" s="961"/>
      <c r="L58" s="962"/>
      <c r="M58" s="960"/>
      <c r="N58" s="961"/>
      <c r="O58" s="962"/>
      <c r="P58" s="960"/>
      <c r="Q58" s="961"/>
      <c r="R58" s="962"/>
      <c r="S58" s="960"/>
      <c r="T58" s="961"/>
      <c r="U58" s="962"/>
      <c r="V58" s="960"/>
      <c r="W58" s="961"/>
      <c r="X58" s="962"/>
      <c r="Y58" s="960"/>
      <c r="Z58" s="961"/>
      <c r="AA58" s="962"/>
      <c r="AB58" s="960"/>
      <c r="AC58" s="958"/>
      <c r="AD58" s="962"/>
      <c r="AE58" s="960"/>
      <c r="AF58" s="961"/>
      <c r="AG58" s="962"/>
      <c r="AH58" s="960"/>
      <c r="AI58" s="961"/>
      <c r="AJ58" s="962"/>
      <c r="AK58" s="960"/>
      <c r="AL58" s="961"/>
      <c r="AM58" s="962"/>
      <c r="AN58" s="960"/>
      <c r="AO58" s="961"/>
      <c r="AP58" s="962"/>
      <c r="AQ58" s="960"/>
      <c r="AR58" s="961"/>
      <c r="AS58" s="962"/>
      <c r="AT58" s="960"/>
      <c r="AU58" s="961"/>
      <c r="AV58" s="962"/>
      <c r="AW58" s="960"/>
      <c r="AX58" s="961"/>
      <c r="AY58" s="962"/>
      <c r="AZ58" s="960"/>
      <c r="BA58" s="961"/>
      <c r="BB58" s="962"/>
      <c r="BC58" s="960"/>
      <c r="BD58" s="958"/>
      <c r="BE58" s="962"/>
      <c r="BF58" s="960"/>
      <c r="BG58" s="961"/>
      <c r="BH58" s="962"/>
      <c r="BI58" s="960"/>
      <c r="BJ58" s="961"/>
      <c r="BK58" s="962"/>
      <c r="BL58" s="960"/>
      <c r="BM58" s="961"/>
      <c r="BN58" s="962"/>
      <c r="BO58" s="960"/>
      <c r="BP58" s="961"/>
      <c r="BQ58" s="962"/>
      <c r="BR58" s="960"/>
      <c r="BS58" s="961"/>
      <c r="BT58" s="962"/>
      <c r="BU58" s="960"/>
      <c r="BV58" s="961"/>
      <c r="BW58" s="962"/>
      <c r="BX58" s="960"/>
      <c r="BY58" s="961"/>
      <c r="BZ58" s="962"/>
      <c r="CA58" s="960"/>
    </row>
    <row r="59" spans="1:81" ht="16.5" customHeight="1" thickBot="1" x14ac:dyDescent="0.3">
      <c r="A59" s="963" t="s">
        <v>2169</v>
      </c>
      <c r="B59" s="806"/>
      <c r="C59" s="964"/>
      <c r="D59" s="806"/>
      <c r="E59" s="785"/>
      <c r="F59" s="806" t="s">
        <v>2170</v>
      </c>
      <c r="G59" s="796"/>
      <c r="H59" s="965">
        <v>15.147560321274881</v>
      </c>
      <c r="I59" s="966" t="s">
        <v>2160</v>
      </c>
      <c r="J59" s="967">
        <v>2.9636522803199998</v>
      </c>
      <c r="K59" s="965">
        <v>15.051268227861502</v>
      </c>
      <c r="L59" s="966" t="s">
        <v>2160</v>
      </c>
      <c r="M59" s="967">
        <v>2.9254771965439996</v>
      </c>
      <c r="N59" s="965">
        <v>15.059291959311359</v>
      </c>
      <c r="O59" s="966" t="s">
        <v>2160</v>
      </c>
      <c r="P59" s="967">
        <v>2.9179381657599999</v>
      </c>
      <c r="Q59" s="965">
        <v>15.460513454717951</v>
      </c>
      <c r="R59" s="966" t="s">
        <v>2160</v>
      </c>
      <c r="S59" s="967">
        <v>2.991537332224</v>
      </c>
      <c r="T59" s="965">
        <v>17.129903455279106</v>
      </c>
      <c r="U59" s="966" t="s">
        <v>2160</v>
      </c>
      <c r="V59" s="967">
        <v>3.2727497103359999</v>
      </c>
      <c r="W59" s="965">
        <v>19.016768032700416</v>
      </c>
      <c r="X59" s="966" t="s">
        <v>2160</v>
      </c>
      <c r="Y59" s="967">
        <v>3.7287040409600003</v>
      </c>
      <c r="Z59" s="965">
        <v>20.221659148118015</v>
      </c>
      <c r="AA59" s="966" t="s">
        <v>2160</v>
      </c>
      <c r="AB59" s="967">
        <v>4.3275832532480001</v>
      </c>
      <c r="AC59" s="965">
        <v>19.900389991072771</v>
      </c>
      <c r="AD59" s="966" t="s">
        <v>2160</v>
      </c>
      <c r="AE59" s="967">
        <v>4.1002960476160002</v>
      </c>
      <c r="AF59" s="965">
        <v>20.26167524273869</v>
      </c>
      <c r="AG59" s="966" t="s">
        <v>2160</v>
      </c>
      <c r="AH59" s="967">
        <v>4.2163395645440005</v>
      </c>
      <c r="AI59" s="965">
        <v>20.414355567609856</v>
      </c>
      <c r="AJ59" s="966" t="s">
        <v>2160</v>
      </c>
      <c r="AK59" s="967">
        <v>4.2462528335360004</v>
      </c>
      <c r="AL59" s="965">
        <v>19.980412268558339</v>
      </c>
      <c r="AM59" s="966" t="s">
        <v>2160</v>
      </c>
      <c r="AN59" s="967">
        <v>3.9659820124160001</v>
      </c>
      <c r="AO59" s="965">
        <v>19.835910753437695</v>
      </c>
      <c r="AP59" s="966" t="s">
        <v>2160</v>
      </c>
      <c r="AQ59" s="967">
        <v>4.0674770155519999</v>
      </c>
      <c r="AR59" s="965">
        <v>20.18135576538419</v>
      </c>
      <c r="AS59" s="966" t="s">
        <v>2160</v>
      </c>
      <c r="AT59" s="967">
        <v>4.2257037137919999</v>
      </c>
      <c r="AU59" s="965">
        <v>21.073238756202496</v>
      </c>
      <c r="AV59" s="966" t="s">
        <v>2160</v>
      </c>
      <c r="AW59" s="967">
        <v>4.7874502696960004</v>
      </c>
      <c r="AX59" s="965">
        <v>21.72393713245696</v>
      </c>
      <c r="AY59" s="966" t="s">
        <v>2160</v>
      </c>
      <c r="AZ59" s="967">
        <v>4.8442700316160003</v>
      </c>
      <c r="BA59" s="965">
        <v>21.434592374151165</v>
      </c>
      <c r="BB59" s="966" t="s">
        <v>2160</v>
      </c>
      <c r="BC59" s="967">
        <v>4.6159583805439999</v>
      </c>
      <c r="BD59" s="965">
        <v>21.25760882976461</v>
      </c>
      <c r="BE59" s="966" t="s">
        <v>2160</v>
      </c>
      <c r="BF59" s="967">
        <v>4.2675548142080002</v>
      </c>
      <c r="BG59" s="965">
        <v>20.944217685972994</v>
      </c>
      <c r="BH59" s="966" t="s">
        <v>2160</v>
      </c>
      <c r="BI59" s="967">
        <v>4.0462700257280009</v>
      </c>
      <c r="BJ59" s="965">
        <v>20.309553674923009</v>
      </c>
      <c r="BK59" s="966" t="s">
        <v>2160</v>
      </c>
      <c r="BL59" s="967">
        <v>3.7501648148480005</v>
      </c>
      <c r="BM59" s="965">
        <v>19.883777999550464</v>
      </c>
      <c r="BN59" s="966" t="s">
        <v>2160</v>
      </c>
      <c r="BO59" s="967">
        <v>3.5690894827520001</v>
      </c>
      <c r="BP59" s="965">
        <v>18.936194651667456</v>
      </c>
      <c r="BQ59" s="966" t="s">
        <v>2160</v>
      </c>
      <c r="BR59" s="967">
        <v>3.405431301888</v>
      </c>
      <c r="BS59" s="965">
        <v>17.69977232058573</v>
      </c>
      <c r="BT59" s="966" t="s">
        <v>2160</v>
      </c>
      <c r="BU59" s="967">
        <v>3.2563221667840003</v>
      </c>
      <c r="BV59" s="965">
        <v>16.391441768945665</v>
      </c>
      <c r="BW59" s="966" t="s">
        <v>2160</v>
      </c>
      <c r="BX59" s="967">
        <v>3.1250286305280004</v>
      </c>
      <c r="BY59" s="965">
        <v>15.645097534490624</v>
      </c>
      <c r="BZ59" s="966" t="s">
        <v>2160</v>
      </c>
      <c r="CA59" s="967">
        <v>3.0357168711679998</v>
      </c>
    </row>
    <row r="60" spans="1:81" s="968" customFormat="1" ht="16.5" customHeight="1" x14ac:dyDescent="0.2">
      <c r="E60" s="968" t="s">
        <v>2171</v>
      </c>
      <c r="I60" s="969">
        <v>0.19565211938172805</v>
      </c>
      <c r="L60" s="969">
        <v>0.19436748799205036</v>
      </c>
      <c r="O60" s="969">
        <v>0.19376330398825956</v>
      </c>
      <c r="R60" s="969">
        <v>0.19349534159947956</v>
      </c>
      <c r="U60" s="969">
        <v>0.19105476682224976</v>
      </c>
      <c r="X60" s="969">
        <v>0.19607453982444764</v>
      </c>
      <c r="AA60" s="969">
        <v>0.21400732855546914</v>
      </c>
      <c r="AD60" s="969">
        <v>0.20604098962157905</v>
      </c>
      <c r="AG60" s="969">
        <v>0.20809432162106328</v>
      </c>
      <c r="AJ60" s="969">
        <v>0.20800327590420029</v>
      </c>
      <c r="AM60" s="969">
        <v>0.19849350249178618</v>
      </c>
      <c r="AP60" s="969">
        <v>0.20505622686606811</v>
      </c>
      <c r="AS60" s="969">
        <v>0.20938651312218001</v>
      </c>
      <c r="AV60" s="969">
        <v>0.22718151324921082</v>
      </c>
      <c r="AY60" s="969">
        <v>0.22299226894642174</v>
      </c>
      <c r="BB60" s="969">
        <v>0.21535088234803892</v>
      </c>
      <c r="BE60" s="969">
        <v>0.20075422632825141</v>
      </c>
      <c r="BH60" s="969">
        <v>0.19319270294053123</v>
      </c>
      <c r="BK60" s="969">
        <v>0.18465028207283915</v>
      </c>
      <c r="BN60" s="969">
        <v>0.17949755236820139</v>
      </c>
      <c r="BQ60" s="969">
        <v>0.17983715126144045</v>
      </c>
      <c r="BT60" s="969">
        <v>0.18397537029313835</v>
      </c>
      <c r="BW60" s="969">
        <v>0.19065001569590478</v>
      </c>
      <c r="BZ60" s="969">
        <v>0.19403630207325756</v>
      </c>
      <c r="CC60" s="970"/>
    </row>
    <row r="61" spans="1:81" ht="16.5" customHeight="1" x14ac:dyDescent="0.25">
      <c r="B61" s="1342" t="s">
        <v>2230</v>
      </c>
      <c r="C61" s="1342"/>
      <c r="D61" s="1342"/>
      <c r="E61" s="1342"/>
      <c r="F61" s="1342"/>
      <c r="T61" s="646"/>
      <c r="U61" s="971"/>
    </row>
    <row r="62" spans="1:81" ht="16.5" customHeight="1" x14ac:dyDescent="0.25">
      <c r="T62" s="646"/>
      <c r="U62" s="971"/>
    </row>
  </sheetData>
  <mergeCells count="7">
    <mergeCell ref="BZ3:CA3"/>
    <mergeCell ref="E22:F22"/>
    <mergeCell ref="E23:F23"/>
    <mergeCell ref="B52:G52"/>
    <mergeCell ref="B57:G57"/>
    <mergeCell ref="B61:F61"/>
    <mergeCell ref="K3:M3"/>
  </mergeCells>
  <printOptions horizontalCentered="1"/>
  <pageMargins left="0.15748031496062992" right="0.19685039370078741" top="0.55118110236220474" bottom="0.74803149606299213" header="0.31496062992125984" footer="0.31496062992125984"/>
  <pageSetup paperSize="9" scale="22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104"/>
  <sheetViews>
    <sheetView view="pageBreakPreview" zoomScale="70" zoomScaleNormal="100" zoomScaleSheetLayoutView="70" workbookViewId="0">
      <selection activeCell="P38" sqref="P38"/>
    </sheetView>
  </sheetViews>
  <sheetFormatPr defaultRowHeight="12.75" x14ac:dyDescent="0.2"/>
  <cols>
    <col min="1" max="2" width="13.28515625" style="584" customWidth="1"/>
    <col min="3" max="4" width="12.140625" style="584" customWidth="1"/>
    <col min="5" max="5" width="5.140625" style="584" customWidth="1"/>
    <col min="6" max="6" width="8.140625" style="584" customWidth="1"/>
    <col min="7" max="7" width="8.5703125" style="584" customWidth="1"/>
    <col min="8" max="8" width="10" style="584" customWidth="1"/>
    <col min="9" max="79" width="8.7109375" style="584" customWidth="1"/>
    <col min="80" max="256" width="9.140625" style="584"/>
    <col min="257" max="258" width="13.28515625" style="584" customWidth="1"/>
    <col min="259" max="260" width="12.140625" style="584" customWidth="1"/>
    <col min="261" max="261" width="5.140625" style="584" customWidth="1"/>
    <col min="262" max="262" width="8.140625" style="584" customWidth="1"/>
    <col min="263" max="263" width="8.5703125" style="584" customWidth="1"/>
    <col min="264" max="264" width="10" style="584" customWidth="1"/>
    <col min="265" max="335" width="8.7109375" style="584" customWidth="1"/>
    <col min="336" max="512" width="9.140625" style="584"/>
    <col min="513" max="514" width="13.28515625" style="584" customWidth="1"/>
    <col min="515" max="516" width="12.140625" style="584" customWidth="1"/>
    <col min="517" max="517" width="5.140625" style="584" customWidth="1"/>
    <col min="518" max="518" width="8.140625" style="584" customWidth="1"/>
    <col min="519" max="519" width="8.5703125" style="584" customWidth="1"/>
    <col min="520" max="520" width="10" style="584" customWidth="1"/>
    <col min="521" max="591" width="8.7109375" style="584" customWidth="1"/>
    <col min="592" max="768" width="9.140625" style="584"/>
    <col min="769" max="770" width="13.28515625" style="584" customWidth="1"/>
    <col min="771" max="772" width="12.140625" style="584" customWidth="1"/>
    <col min="773" max="773" width="5.140625" style="584" customWidth="1"/>
    <col min="774" max="774" width="8.140625" style="584" customWidth="1"/>
    <col min="775" max="775" width="8.5703125" style="584" customWidth="1"/>
    <col min="776" max="776" width="10" style="584" customWidth="1"/>
    <col min="777" max="847" width="8.7109375" style="584" customWidth="1"/>
    <col min="848" max="1024" width="9.140625" style="584"/>
    <col min="1025" max="1026" width="13.28515625" style="584" customWidth="1"/>
    <col min="1027" max="1028" width="12.140625" style="584" customWidth="1"/>
    <col min="1029" max="1029" width="5.140625" style="584" customWidth="1"/>
    <col min="1030" max="1030" width="8.140625" style="584" customWidth="1"/>
    <col min="1031" max="1031" width="8.5703125" style="584" customWidth="1"/>
    <col min="1032" max="1032" width="10" style="584" customWidth="1"/>
    <col min="1033" max="1103" width="8.7109375" style="584" customWidth="1"/>
    <col min="1104" max="1280" width="9.140625" style="584"/>
    <col min="1281" max="1282" width="13.28515625" style="584" customWidth="1"/>
    <col min="1283" max="1284" width="12.140625" style="584" customWidth="1"/>
    <col min="1285" max="1285" width="5.140625" style="584" customWidth="1"/>
    <col min="1286" max="1286" width="8.140625" style="584" customWidth="1"/>
    <col min="1287" max="1287" width="8.5703125" style="584" customWidth="1"/>
    <col min="1288" max="1288" width="10" style="584" customWidth="1"/>
    <col min="1289" max="1359" width="8.7109375" style="584" customWidth="1"/>
    <col min="1360" max="1536" width="9.140625" style="584"/>
    <col min="1537" max="1538" width="13.28515625" style="584" customWidth="1"/>
    <col min="1539" max="1540" width="12.140625" style="584" customWidth="1"/>
    <col min="1541" max="1541" width="5.140625" style="584" customWidth="1"/>
    <col min="1542" max="1542" width="8.140625" style="584" customWidth="1"/>
    <col min="1543" max="1543" width="8.5703125" style="584" customWidth="1"/>
    <col min="1544" max="1544" width="10" style="584" customWidth="1"/>
    <col min="1545" max="1615" width="8.7109375" style="584" customWidth="1"/>
    <col min="1616" max="1792" width="9.140625" style="584"/>
    <col min="1793" max="1794" width="13.28515625" style="584" customWidth="1"/>
    <col min="1795" max="1796" width="12.140625" style="584" customWidth="1"/>
    <col min="1797" max="1797" width="5.140625" style="584" customWidth="1"/>
    <col min="1798" max="1798" width="8.140625" style="584" customWidth="1"/>
    <col min="1799" max="1799" width="8.5703125" style="584" customWidth="1"/>
    <col min="1800" max="1800" width="10" style="584" customWidth="1"/>
    <col min="1801" max="1871" width="8.7109375" style="584" customWidth="1"/>
    <col min="1872" max="2048" width="9.140625" style="584"/>
    <col min="2049" max="2050" width="13.28515625" style="584" customWidth="1"/>
    <col min="2051" max="2052" width="12.140625" style="584" customWidth="1"/>
    <col min="2053" max="2053" width="5.140625" style="584" customWidth="1"/>
    <col min="2054" max="2054" width="8.140625" style="584" customWidth="1"/>
    <col min="2055" max="2055" width="8.5703125" style="584" customWidth="1"/>
    <col min="2056" max="2056" width="10" style="584" customWidth="1"/>
    <col min="2057" max="2127" width="8.7109375" style="584" customWidth="1"/>
    <col min="2128" max="2304" width="9.140625" style="584"/>
    <col min="2305" max="2306" width="13.28515625" style="584" customWidth="1"/>
    <col min="2307" max="2308" width="12.140625" style="584" customWidth="1"/>
    <col min="2309" max="2309" width="5.140625" style="584" customWidth="1"/>
    <col min="2310" max="2310" width="8.140625" style="584" customWidth="1"/>
    <col min="2311" max="2311" width="8.5703125" style="584" customWidth="1"/>
    <col min="2312" max="2312" width="10" style="584" customWidth="1"/>
    <col min="2313" max="2383" width="8.7109375" style="584" customWidth="1"/>
    <col min="2384" max="2560" width="9.140625" style="584"/>
    <col min="2561" max="2562" width="13.28515625" style="584" customWidth="1"/>
    <col min="2563" max="2564" width="12.140625" style="584" customWidth="1"/>
    <col min="2565" max="2565" width="5.140625" style="584" customWidth="1"/>
    <col min="2566" max="2566" width="8.140625" style="584" customWidth="1"/>
    <col min="2567" max="2567" width="8.5703125" style="584" customWidth="1"/>
    <col min="2568" max="2568" width="10" style="584" customWidth="1"/>
    <col min="2569" max="2639" width="8.7109375" style="584" customWidth="1"/>
    <col min="2640" max="2816" width="9.140625" style="584"/>
    <col min="2817" max="2818" width="13.28515625" style="584" customWidth="1"/>
    <col min="2819" max="2820" width="12.140625" style="584" customWidth="1"/>
    <col min="2821" max="2821" width="5.140625" style="584" customWidth="1"/>
    <col min="2822" max="2822" width="8.140625" style="584" customWidth="1"/>
    <col min="2823" max="2823" width="8.5703125" style="584" customWidth="1"/>
    <col min="2824" max="2824" width="10" style="584" customWidth="1"/>
    <col min="2825" max="2895" width="8.7109375" style="584" customWidth="1"/>
    <col min="2896" max="3072" width="9.140625" style="584"/>
    <col min="3073" max="3074" width="13.28515625" style="584" customWidth="1"/>
    <col min="3075" max="3076" width="12.140625" style="584" customWidth="1"/>
    <col min="3077" max="3077" width="5.140625" style="584" customWidth="1"/>
    <col min="3078" max="3078" width="8.140625" style="584" customWidth="1"/>
    <col min="3079" max="3079" width="8.5703125" style="584" customWidth="1"/>
    <col min="3080" max="3080" width="10" style="584" customWidth="1"/>
    <col min="3081" max="3151" width="8.7109375" style="584" customWidth="1"/>
    <col min="3152" max="3328" width="9.140625" style="584"/>
    <col min="3329" max="3330" width="13.28515625" style="584" customWidth="1"/>
    <col min="3331" max="3332" width="12.140625" style="584" customWidth="1"/>
    <col min="3333" max="3333" width="5.140625" style="584" customWidth="1"/>
    <col min="3334" max="3334" width="8.140625" style="584" customWidth="1"/>
    <col min="3335" max="3335" width="8.5703125" style="584" customWidth="1"/>
    <col min="3336" max="3336" width="10" style="584" customWidth="1"/>
    <col min="3337" max="3407" width="8.7109375" style="584" customWidth="1"/>
    <col min="3408" max="3584" width="9.140625" style="584"/>
    <col min="3585" max="3586" width="13.28515625" style="584" customWidth="1"/>
    <col min="3587" max="3588" width="12.140625" style="584" customWidth="1"/>
    <col min="3589" max="3589" width="5.140625" style="584" customWidth="1"/>
    <col min="3590" max="3590" width="8.140625" style="584" customWidth="1"/>
    <col min="3591" max="3591" width="8.5703125" style="584" customWidth="1"/>
    <col min="3592" max="3592" width="10" style="584" customWidth="1"/>
    <col min="3593" max="3663" width="8.7109375" style="584" customWidth="1"/>
    <col min="3664" max="3840" width="9.140625" style="584"/>
    <col min="3841" max="3842" width="13.28515625" style="584" customWidth="1"/>
    <col min="3843" max="3844" width="12.140625" style="584" customWidth="1"/>
    <col min="3845" max="3845" width="5.140625" style="584" customWidth="1"/>
    <col min="3846" max="3846" width="8.140625" style="584" customWidth="1"/>
    <col min="3847" max="3847" width="8.5703125" style="584" customWidth="1"/>
    <col min="3848" max="3848" width="10" style="584" customWidth="1"/>
    <col min="3849" max="3919" width="8.7109375" style="584" customWidth="1"/>
    <col min="3920" max="4096" width="9.140625" style="584"/>
    <col min="4097" max="4098" width="13.28515625" style="584" customWidth="1"/>
    <col min="4099" max="4100" width="12.140625" style="584" customWidth="1"/>
    <col min="4101" max="4101" width="5.140625" style="584" customWidth="1"/>
    <col min="4102" max="4102" width="8.140625" style="584" customWidth="1"/>
    <col min="4103" max="4103" width="8.5703125" style="584" customWidth="1"/>
    <col min="4104" max="4104" width="10" style="584" customWidth="1"/>
    <col min="4105" max="4175" width="8.7109375" style="584" customWidth="1"/>
    <col min="4176" max="4352" width="9.140625" style="584"/>
    <col min="4353" max="4354" width="13.28515625" style="584" customWidth="1"/>
    <col min="4355" max="4356" width="12.140625" style="584" customWidth="1"/>
    <col min="4357" max="4357" width="5.140625" style="584" customWidth="1"/>
    <col min="4358" max="4358" width="8.140625" style="584" customWidth="1"/>
    <col min="4359" max="4359" width="8.5703125" style="584" customWidth="1"/>
    <col min="4360" max="4360" width="10" style="584" customWidth="1"/>
    <col min="4361" max="4431" width="8.7109375" style="584" customWidth="1"/>
    <col min="4432" max="4608" width="9.140625" style="584"/>
    <col min="4609" max="4610" width="13.28515625" style="584" customWidth="1"/>
    <col min="4611" max="4612" width="12.140625" style="584" customWidth="1"/>
    <col min="4613" max="4613" width="5.140625" style="584" customWidth="1"/>
    <col min="4614" max="4614" width="8.140625" style="584" customWidth="1"/>
    <col min="4615" max="4615" width="8.5703125" style="584" customWidth="1"/>
    <col min="4616" max="4616" width="10" style="584" customWidth="1"/>
    <col min="4617" max="4687" width="8.7109375" style="584" customWidth="1"/>
    <col min="4688" max="4864" width="9.140625" style="584"/>
    <col min="4865" max="4866" width="13.28515625" style="584" customWidth="1"/>
    <col min="4867" max="4868" width="12.140625" style="584" customWidth="1"/>
    <col min="4869" max="4869" width="5.140625" style="584" customWidth="1"/>
    <col min="4870" max="4870" width="8.140625" style="584" customWidth="1"/>
    <col min="4871" max="4871" width="8.5703125" style="584" customWidth="1"/>
    <col min="4872" max="4872" width="10" style="584" customWidth="1"/>
    <col min="4873" max="4943" width="8.7109375" style="584" customWidth="1"/>
    <col min="4944" max="5120" width="9.140625" style="584"/>
    <col min="5121" max="5122" width="13.28515625" style="584" customWidth="1"/>
    <col min="5123" max="5124" width="12.140625" style="584" customWidth="1"/>
    <col min="5125" max="5125" width="5.140625" style="584" customWidth="1"/>
    <col min="5126" max="5126" width="8.140625" style="584" customWidth="1"/>
    <col min="5127" max="5127" width="8.5703125" style="584" customWidth="1"/>
    <col min="5128" max="5128" width="10" style="584" customWidth="1"/>
    <col min="5129" max="5199" width="8.7109375" style="584" customWidth="1"/>
    <col min="5200" max="5376" width="9.140625" style="584"/>
    <col min="5377" max="5378" width="13.28515625" style="584" customWidth="1"/>
    <col min="5379" max="5380" width="12.140625" style="584" customWidth="1"/>
    <col min="5381" max="5381" width="5.140625" style="584" customWidth="1"/>
    <col min="5382" max="5382" width="8.140625" style="584" customWidth="1"/>
    <col min="5383" max="5383" width="8.5703125" style="584" customWidth="1"/>
    <col min="5384" max="5384" width="10" style="584" customWidth="1"/>
    <col min="5385" max="5455" width="8.7109375" style="584" customWidth="1"/>
    <col min="5456" max="5632" width="9.140625" style="584"/>
    <col min="5633" max="5634" width="13.28515625" style="584" customWidth="1"/>
    <col min="5635" max="5636" width="12.140625" style="584" customWidth="1"/>
    <col min="5637" max="5637" width="5.140625" style="584" customWidth="1"/>
    <col min="5638" max="5638" width="8.140625" style="584" customWidth="1"/>
    <col min="5639" max="5639" width="8.5703125" style="584" customWidth="1"/>
    <col min="5640" max="5640" width="10" style="584" customWidth="1"/>
    <col min="5641" max="5711" width="8.7109375" style="584" customWidth="1"/>
    <col min="5712" max="5888" width="9.140625" style="584"/>
    <col min="5889" max="5890" width="13.28515625" style="584" customWidth="1"/>
    <col min="5891" max="5892" width="12.140625" style="584" customWidth="1"/>
    <col min="5893" max="5893" width="5.140625" style="584" customWidth="1"/>
    <col min="5894" max="5894" width="8.140625" style="584" customWidth="1"/>
    <col min="5895" max="5895" width="8.5703125" style="584" customWidth="1"/>
    <col min="5896" max="5896" width="10" style="584" customWidth="1"/>
    <col min="5897" max="5967" width="8.7109375" style="584" customWidth="1"/>
    <col min="5968" max="6144" width="9.140625" style="584"/>
    <col min="6145" max="6146" width="13.28515625" style="584" customWidth="1"/>
    <col min="6147" max="6148" width="12.140625" style="584" customWidth="1"/>
    <col min="6149" max="6149" width="5.140625" style="584" customWidth="1"/>
    <col min="6150" max="6150" width="8.140625" style="584" customWidth="1"/>
    <col min="6151" max="6151" width="8.5703125" style="584" customWidth="1"/>
    <col min="6152" max="6152" width="10" style="584" customWidth="1"/>
    <col min="6153" max="6223" width="8.7109375" style="584" customWidth="1"/>
    <col min="6224" max="6400" width="9.140625" style="584"/>
    <col min="6401" max="6402" width="13.28515625" style="584" customWidth="1"/>
    <col min="6403" max="6404" width="12.140625" style="584" customWidth="1"/>
    <col min="6405" max="6405" width="5.140625" style="584" customWidth="1"/>
    <col min="6406" max="6406" width="8.140625" style="584" customWidth="1"/>
    <col min="6407" max="6407" width="8.5703125" style="584" customWidth="1"/>
    <col min="6408" max="6408" width="10" style="584" customWidth="1"/>
    <col min="6409" max="6479" width="8.7109375" style="584" customWidth="1"/>
    <col min="6480" max="6656" width="9.140625" style="584"/>
    <col min="6657" max="6658" width="13.28515625" style="584" customWidth="1"/>
    <col min="6659" max="6660" width="12.140625" style="584" customWidth="1"/>
    <col min="6661" max="6661" width="5.140625" style="584" customWidth="1"/>
    <col min="6662" max="6662" width="8.140625" style="584" customWidth="1"/>
    <col min="6663" max="6663" width="8.5703125" style="584" customWidth="1"/>
    <col min="6664" max="6664" width="10" style="584" customWidth="1"/>
    <col min="6665" max="6735" width="8.7109375" style="584" customWidth="1"/>
    <col min="6736" max="6912" width="9.140625" style="584"/>
    <col min="6913" max="6914" width="13.28515625" style="584" customWidth="1"/>
    <col min="6915" max="6916" width="12.140625" style="584" customWidth="1"/>
    <col min="6917" max="6917" width="5.140625" style="584" customWidth="1"/>
    <col min="6918" max="6918" width="8.140625" style="584" customWidth="1"/>
    <col min="6919" max="6919" width="8.5703125" style="584" customWidth="1"/>
    <col min="6920" max="6920" width="10" style="584" customWidth="1"/>
    <col min="6921" max="6991" width="8.7109375" style="584" customWidth="1"/>
    <col min="6992" max="7168" width="9.140625" style="584"/>
    <col min="7169" max="7170" width="13.28515625" style="584" customWidth="1"/>
    <col min="7171" max="7172" width="12.140625" style="584" customWidth="1"/>
    <col min="7173" max="7173" width="5.140625" style="584" customWidth="1"/>
    <col min="7174" max="7174" width="8.140625" style="584" customWidth="1"/>
    <col min="7175" max="7175" width="8.5703125" style="584" customWidth="1"/>
    <col min="7176" max="7176" width="10" style="584" customWidth="1"/>
    <col min="7177" max="7247" width="8.7109375" style="584" customWidth="1"/>
    <col min="7248" max="7424" width="9.140625" style="584"/>
    <col min="7425" max="7426" width="13.28515625" style="584" customWidth="1"/>
    <col min="7427" max="7428" width="12.140625" style="584" customWidth="1"/>
    <col min="7429" max="7429" width="5.140625" style="584" customWidth="1"/>
    <col min="7430" max="7430" width="8.140625" style="584" customWidth="1"/>
    <col min="7431" max="7431" width="8.5703125" style="584" customWidth="1"/>
    <col min="7432" max="7432" width="10" style="584" customWidth="1"/>
    <col min="7433" max="7503" width="8.7109375" style="584" customWidth="1"/>
    <col min="7504" max="7680" width="9.140625" style="584"/>
    <col min="7681" max="7682" width="13.28515625" style="584" customWidth="1"/>
    <col min="7683" max="7684" width="12.140625" style="584" customWidth="1"/>
    <col min="7685" max="7685" width="5.140625" style="584" customWidth="1"/>
    <col min="7686" max="7686" width="8.140625" style="584" customWidth="1"/>
    <col min="7687" max="7687" width="8.5703125" style="584" customWidth="1"/>
    <col min="7688" max="7688" width="10" style="584" customWidth="1"/>
    <col min="7689" max="7759" width="8.7109375" style="584" customWidth="1"/>
    <col min="7760" max="7936" width="9.140625" style="584"/>
    <col min="7937" max="7938" width="13.28515625" style="584" customWidth="1"/>
    <col min="7939" max="7940" width="12.140625" style="584" customWidth="1"/>
    <col min="7941" max="7941" width="5.140625" style="584" customWidth="1"/>
    <col min="7942" max="7942" width="8.140625" style="584" customWidth="1"/>
    <col min="7943" max="7943" width="8.5703125" style="584" customWidth="1"/>
    <col min="7944" max="7944" width="10" style="584" customWidth="1"/>
    <col min="7945" max="8015" width="8.7109375" style="584" customWidth="1"/>
    <col min="8016" max="8192" width="9.140625" style="584"/>
    <col min="8193" max="8194" width="13.28515625" style="584" customWidth="1"/>
    <col min="8195" max="8196" width="12.140625" style="584" customWidth="1"/>
    <col min="8197" max="8197" width="5.140625" style="584" customWidth="1"/>
    <col min="8198" max="8198" width="8.140625" style="584" customWidth="1"/>
    <col min="8199" max="8199" width="8.5703125" style="584" customWidth="1"/>
    <col min="8200" max="8200" width="10" style="584" customWidth="1"/>
    <col min="8201" max="8271" width="8.7109375" style="584" customWidth="1"/>
    <col min="8272" max="8448" width="9.140625" style="584"/>
    <col min="8449" max="8450" width="13.28515625" style="584" customWidth="1"/>
    <col min="8451" max="8452" width="12.140625" style="584" customWidth="1"/>
    <col min="8453" max="8453" width="5.140625" style="584" customWidth="1"/>
    <col min="8454" max="8454" width="8.140625" style="584" customWidth="1"/>
    <col min="8455" max="8455" width="8.5703125" style="584" customWidth="1"/>
    <col min="8456" max="8456" width="10" style="584" customWidth="1"/>
    <col min="8457" max="8527" width="8.7109375" style="584" customWidth="1"/>
    <col min="8528" max="8704" width="9.140625" style="584"/>
    <col min="8705" max="8706" width="13.28515625" style="584" customWidth="1"/>
    <col min="8707" max="8708" width="12.140625" style="584" customWidth="1"/>
    <col min="8709" max="8709" width="5.140625" style="584" customWidth="1"/>
    <col min="8710" max="8710" width="8.140625" style="584" customWidth="1"/>
    <col min="8711" max="8711" width="8.5703125" style="584" customWidth="1"/>
    <col min="8712" max="8712" width="10" style="584" customWidth="1"/>
    <col min="8713" max="8783" width="8.7109375" style="584" customWidth="1"/>
    <col min="8784" max="8960" width="9.140625" style="584"/>
    <col min="8961" max="8962" width="13.28515625" style="584" customWidth="1"/>
    <col min="8963" max="8964" width="12.140625" style="584" customWidth="1"/>
    <col min="8965" max="8965" width="5.140625" style="584" customWidth="1"/>
    <col min="8966" max="8966" width="8.140625" style="584" customWidth="1"/>
    <col min="8967" max="8967" width="8.5703125" style="584" customWidth="1"/>
    <col min="8968" max="8968" width="10" style="584" customWidth="1"/>
    <col min="8969" max="9039" width="8.7109375" style="584" customWidth="1"/>
    <col min="9040" max="9216" width="9.140625" style="584"/>
    <col min="9217" max="9218" width="13.28515625" style="584" customWidth="1"/>
    <col min="9219" max="9220" width="12.140625" style="584" customWidth="1"/>
    <col min="9221" max="9221" width="5.140625" style="584" customWidth="1"/>
    <col min="9222" max="9222" width="8.140625" style="584" customWidth="1"/>
    <col min="9223" max="9223" width="8.5703125" style="584" customWidth="1"/>
    <col min="9224" max="9224" width="10" style="584" customWidth="1"/>
    <col min="9225" max="9295" width="8.7109375" style="584" customWidth="1"/>
    <col min="9296" max="9472" width="9.140625" style="584"/>
    <col min="9473" max="9474" width="13.28515625" style="584" customWidth="1"/>
    <col min="9475" max="9476" width="12.140625" style="584" customWidth="1"/>
    <col min="9477" max="9477" width="5.140625" style="584" customWidth="1"/>
    <col min="9478" max="9478" width="8.140625" style="584" customWidth="1"/>
    <col min="9479" max="9479" width="8.5703125" style="584" customWidth="1"/>
    <col min="9480" max="9480" width="10" style="584" customWidth="1"/>
    <col min="9481" max="9551" width="8.7109375" style="584" customWidth="1"/>
    <col min="9552" max="9728" width="9.140625" style="584"/>
    <col min="9729" max="9730" width="13.28515625" style="584" customWidth="1"/>
    <col min="9731" max="9732" width="12.140625" style="584" customWidth="1"/>
    <col min="9733" max="9733" width="5.140625" style="584" customWidth="1"/>
    <col min="9734" max="9734" width="8.140625" style="584" customWidth="1"/>
    <col min="9735" max="9735" width="8.5703125" style="584" customWidth="1"/>
    <col min="9736" max="9736" width="10" style="584" customWidth="1"/>
    <col min="9737" max="9807" width="8.7109375" style="584" customWidth="1"/>
    <col min="9808" max="9984" width="9.140625" style="584"/>
    <col min="9985" max="9986" width="13.28515625" style="584" customWidth="1"/>
    <col min="9987" max="9988" width="12.140625" style="584" customWidth="1"/>
    <col min="9989" max="9989" width="5.140625" style="584" customWidth="1"/>
    <col min="9990" max="9990" width="8.140625" style="584" customWidth="1"/>
    <col min="9991" max="9991" width="8.5703125" style="584" customWidth="1"/>
    <col min="9992" max="9992" width="10" style="584" customWidth="1"/>
    <col min="9993" max="10063" width="8.7109375" style="584" customWidth="1"/>
    <col min="10064" max="10240" width="9.140625" style="584"/>
    <col min="10241" max="10242" width="13.28515625" style="584" customWidth="1"/>
    <col min="10243" max="10244" width="12.140625" style="584" customWidth="1"/>
    <col min="10245" max="10245" width="5.140625" style="584" customWidth="1"/>
    <col min="10246" max="10246" width="8.140625" style="584" customWidth="1"/>
    <col min="10247" max="10247" width="8.5703125" style="584" customWidth="1"/>
    <col min="10248" max="10248" width="10" style="584" customWidth="1"/>
    <col min="10249" max="10319" width="8.7109375" style="584" customWidth="1"/>
    <col min="10320" max="10496" width="9.140625" style="584"/>
    <col min="10497" max="10498" width="13.28515625" style="584" customWidth="1"/>
    <col min="10499" max="10500" width="12.140625" style="584" customWidth="1"/>
    <col min="10501" max="10501" width="5.140625" style="584" customWidth="1"/>
    <col min="10502" max="10502" width="8.140625" style="584" customWidth="1"/>
    <col min="10503" max="10503" width="8.5703125" style="584" customWidth="1"/>
    <col min="10504" max="10504" width="10" style="584" customWidth="1"/>
    <col min="10505" max="10575" width="8.7109375" style="584" customWidth="1"/>
    <col min="10576" max="10752" width="9.140625" style="584"/>
    <col min="10753" max="10754" width="13.28515625" style="584" customWidth="1"/>
    <col min="10755" max="10756" width="12.140625" style="584" customWidth="1"/>
    <col min="10757" max="10757" width="5.140625" style="584" customWidth="1"/>
    <col min="10758" max="10758" width="8.140625" style="584" customWidth="1"/>
    <col min="10759" max="10759" width="8.5703125" style="584" customWidth="1"/>
    <col min="10760" max="10760" width="10" style="584" customWidth="1"/>
    <col min="10761" max="10831" width="8.7109375" style="584" customWidth="1"/>
    <col min="10832" max="11008" width="9.140625" style="584"/>
    <col min="11009" max="11010" width="13.28515625" style="584" customWidth="1"/>
    <col min="11011" max="11012" width="12.140625" style="584" customWidth="1"/>
    <col min="11013" max="11013" width="5.140625" style="584" customWidth="1"/>
    <col min="11014" max="11014" width="8.140625" style="584" customWidth="1"/>
    <col min="11015" max="11015" width="8.5703125" style="584" customWidth="1"/>
    <col min="11016" max="11016" width="10" style="584" customWidth="1"/>
    <col min="11017" max="11087" width="8.7109375" style="584" customWidth="1"/>
    <col min="11088" max="11264" width="9.140625" style="584"/>
    <col min="11265" max="11266" width="13.28515625" style="584" customWidth="1"/>
    <col min="11267" max="11268" width="12.140625" style="584" customWidth="1"/>
    <col min="11269" max="11269" width="5.140625" style="584" customWidth="1"/>
    <col min="11270" max="11270" width="8.140625" style="584" customWidth="1"/>
    <col min="11271" max="11271" width="8.5703125" style="584" customWidth="1"/>
    <col min="11272" max="11272" width="10" style="584" customWidth="1"/>
    <col min="11273" max="11343" width="8.7109375" style="584" customWidth="1"/>
    <col min="11344" max="11520" width="9.140625" style="584"/>
    <col min="11521" max="11522" width="13.28515625" style="584" customWidth="1"/>
    <col min="11523" max="11524" width="12.140625" style="584" customWidth="1"/>
    <col min="11525" max="11525" width="5.140625" style="584" customWidth="1"/>
    <col min="11526" max="11526" width="8.140625" style="584" customWidth="1"/>
    <col min="11527" max="11527" width="8.5703125" style="584" customWidth="1"/>
    <col min="11528" max="11528" width="10" style="584" customWidth="1"/>
    <col min="11529" max="11599" width="8.7109375" style="584" customWidth="1"/>
    <col min="11600" max="11776" width="9.140625" style="584"/>
    <col min="11777" max="11778" width="13.28515625" style="584" customWidth="1"/>
    <col min="11779" max="11780" width="12.140625" style="584" customWidth="1"/>
    <col min="11781" max="11781" width="5.140625" style="584" customWidth="1"/>
    <col min="11782" max="11782" width="8.140625" style="584" customWidth="1"/>
    <col min="11783" max="11783" width="8.5703125" style="584" customWidth="1"/>
    <col min="11784" max="11784" width="10" style="584" customWidth="1"/>
    <col min="11785" max="11855" width="8.7109375" style="584" customWidth="1"/>
    <col min="11856" max="12032" width="9.140625" style="584"/>
    <col min="12033" max="12034" width="13.28515625" style="584" customWidth="1"/>
    <col min="12035" max="12036" width="12.140625" style="584" customWidth="1"/>
    <col min="12037" max="12037" width="5.140625" style="584" customWidth="1"/>
    <col min="12038" max="12038" width="8.140625" style="584" customWidth="1"/>
    <col min="12039" max="12039" width="8.5703125" style="584" customWidth="1"/>
    <col min="12040" max="12040" width="10" style="584" customWidth="1"/>
    <col min="12041" max="12111" width="8.7109375" style="584" customWidth="1"/>
    <col min="12112" max="12288" width="9.140625" style="584"/>
    <col min="12289" max="12290" width="13.28515625" style="584" customWidth="1"/>
    <col min="12291" max="12292" width="12.140625" style="584" customWidth="1"/>
    <col min="12293" max="12293" width="5.140625" style="584" customWidth="1"/>
    <col min="12294" max="12294" width="8.140625" style="584" customWidth="1"/>
    <col min="12295" max="12295" width="8.5703125" style="584" customWidth="1"/>
    <col min="12296" max="12296" width="10" style="584" customWidth="1"/>
    <col min="12297" max="12367" width="8.7109375" style="584" customWidth="1"/>
    <col min="12368" max="12544" width="9.140625" style="584"/>
    <col min="12545" max="12546" width="13.28515625" style="584" customWidth="1"/>
    <col min="12547" max="12548" width="12.140625" style="584" customWidth="1"/>
    <col min="12549" max="12549" width="5.140625" style="584" customWidth="1"/>
    <col min="12550" max="12550" width="8.140625" style="584" customWidth="1"/>
    <col min="12551" max="12551" width="8.5703125" style="584" customWidth="1"/>
    <col min="12552" max="12552" width="10" style="584" customWidth="1"/>
    <col min="12553" max="12623" width="8.7109375" style="584" customWidth="1"/>
    <col min="12624" max="12800" width="9.140625" style="584"/>
    <col min="12801" max="12802" width="13.28515625" style="584" customWidth="1"/>
    <col min="12803" max="12804" width="12.140625" style="584" customWidth="1"/>
    <col min="12805" max="12805" width="5.140625" style="584" customWidth="1"/>
    <col min="12806" max="12806" width="8.140625" style="584" customWidth="1"/>
    <col min="12807" max="12807" width="8.5703125" style="584" customWidth="1"/>
    <col min="12808" max="12808" width="10" style="584" customWidth="1"/>
    <col min="12809" max="12879" width="8.7109375" style="584" customWidth="1"/>
    <col min="12880" max="13056" width="9.140625" style="584"/>
    <col min="13057" max="13058" width="13.28515625" style="584" customWidth="1"/>
    <col min="13059" max="13060" width="12.140625" style="584" customWidth="1"/>
    <col min="13061" max="13061" width="5.140625" style="584" customWidth="1"/>
    <col min="13062" max="13062" width="8.140625" style="584" customWidth="1"/>
    <col min="13063" max="13063" width="8.5703125" style="584" customWidth="1"/>
    <col min="13064" max="13064" width="10" style="584" customWidth="1"/>
    <col min="13065" max="13135" width="8.7109375" style="584" customWidth="1"/>
    <col min="13136" max="13312" width="9.140625" style="584"/>
    <col min="13313" max="13314" width="13.28515625" style="584" customWidth="1"/>
    <col min="13315" max="13316" width="12.140625" style="584" customWidth="1"/>
    <col min="13317" max="13317" width="5.140625" style="584" customWidth="1"/>
    <col min="13318" max="13318" width="8.140625" style="584" customWidth="1"/>
    <col min="13319" max="13319" width="8.5703125" style="584" customWidth="1"/>
    <col min="13320" max="13320" width="10" style="584" customWidth="1"/>
    <col min="13321" max="13391" width="8.7109375" style="584" customWidth="1"/>
    <col min="13392" max="13568" width="9.140625" style="584"/>
    <col min="13569" max="13570" width="13.28515625" style="584" customWidth="1"/>
    <col min="13571" max="13572" width="12.140625" style="584" customWidth="1"/>
    <col min="13573" max="13573" width="5.140625" style="584" customWidth="1"/>
    <col min="13574" max="13574" width="8.140625" style="584" customWidth="1"/>
    <col min="13575" max="13575" width="8.5703125" style="584" customWidth="1"/>
    <col min="13576" max="13576" width="10" style="584" customWidth="1"/>
    <col min="13577" max="13647" width="8.7109375" style="584" customWidth="1"/>
    <col min="13648" max="13824" width="9.140625" style="584"/>
    <col min="13825" max="13826" width="13.28515625" style="584" customWidth="1"/>
    <col min="13827" max="13828" width="12.140625" style="584" customWidth="1"/>
    <col min="13829" max="13829" width="5.140625" style="584" customWidth="1"/>
    <col min="13830" max="13830" width="8.140625" style="584" customWidth="1"/>
    <col min="13831" max="13831" width="8.5703125" style="584" customWidth="1"/>
    <col min="13832" max="13832" width="10" style="584" customWidth="1"/>
    <col min="13833" max="13903" width="8.7109375" style="584" customWidth="1"/>
    <col min="13904" max="14080" width="9.140625" style="584"/>
    <col min="14081" max="14082" width="13.28515625" style="584" customWidth="1"/>
    <col min="14083" max="14084" width="12.140625" style="584" customWidth="1"/>
    <col min="14085" max="14085" width="5.140625" style="584" customWidth="1"/>
    <col min="14086" max="14086" width="8.140625" style="584" customWidth="1"/>
    <col min="14087" max="14087" width="8.5703125" style="584" customWidth="1"/>
    <col min="14088" max="14088" width="10" style="584" customWidth="1"/>
    <col min="14089" max="14159" width="8.7109375" style="584" customWidth="1"/>
    <col min="14160" max="14336" width="9.140625" style="584"/>
    <col min="14337" max="14338" width="13.28515625" style="584" customWidth="1"/>
    <col min="14339" max="14340" width="12.140625" style="584" customWidth="1"/>
    <col min="14341" max="14341" width="5.140625" style="584" customWidth="1"/>
    <col min="14342" max="14342" width="8.140625" style="584" customWidth="1"/>
    <col min="14343" max="14343" width="8.5703125" style="584" customWidth="1"/>
    <col min="14344" max="14344" width="10" style="584" customWidth="1"/>
    <col min="14345" max="14415" width="8.7109375" style="584" customWidth="1"/>
    <col min="14416" max="14592" width="9.140625" style="584"/>
    <col min="14593" max="14594" width="13.28515625" style="584" customWidth="1"/>
    <col min="14595" max="14596" width="12.140625" style="584" customWidth="1"/>
    <col min="14597" max="14597" width="5.140625" style="584" customWidth="1"/>
    <col min="14598" max="14598" width="8.140625" style="584" customWidth="1"/>
    <col min="14599" max="14599" width="8.5703125" style="584" customWidth="1"/>
    <col min="14600" max="14600" width="10" style="584" customWidth="1"/>
    <col min="14601" max="14671" width="8.7109375" style="584" customWidth="1"/>
    <col min="14672" max="14848" width="9.140625" style="584"/>
    <col min="14849" max="14850" width="13.28515625" style="584" customWidth="1"/>
    <col min="14851" max="14852" width="12.140625" style="584" customWidth="1"/>
    <col min="14853" max="14853" width="5.140625" style="584" customWidth="1"/>
    <col min="14854" max="14854" width="8.140625" style="584" customWidth="1"/>
    <col min="14855" max="14855" width="8.5703125" style="584" customWidth="1"/>
    <col min="14856" max="14856" width="10" style="584" customWidth="1"/>
    <col min="14857" max="14927" width="8.7109375" style="584" customWidth="1"/>
    <col min="14928" max="15104" width="9.140625" style="584"/>
    <col min="15105" max="15106" width="13.28515625" style="584" customWidth="1"/>
    <col min="15107" max="15108" width="12.140625" style="584" customWidth="1"/>
    <col min="15109" max="15109" width="5.140625" style="584" customWidth="1"/>
    <col min="15110" max="15110" width="8.140625" style="584" customWidth="1"/>
    <col min="15111" max="15111" width="8.5703125" style="584" customWidth="1"/>
    <col min="15112" max="15112" width="10" style="584" customWidth="1"/>
    <col min="15113" max="15183" width="8.7109375" style="584" customWidth="1"/>
    <col min="15184" max="15360" width="9.140625" style="584"/>
    <col min="15361" max="15362" width="13.28515625" style="584" customWidth="1"/>
    <col min="15363" max="15364" width="12.140625" style="584" customWidth="1"/>
    <col min="15365" max="15365" width="5.140625" style="584" customWidth="1"/>
    <col min="15366" max="15366" width="8.140625" style="584" customWidth="1"/>
    <col min="15367" max="15367" width="8.5703125" style="584" customWidth="1"/>
    <col min="15368" max="15368" width="10" style="584" customWidth="1"/>
    <col min="15369" max="15439" width="8.7109375" style="584" customWidth="1"/>
    <col min="15440" max="15616" width="9.140625" style="584"/>
    <col min="15617" max="15618" width="13.28515625" style="584" customWidth="1"/>
    <col min="15619" max="15620" width="12.140625" style="584" customWidth="1"/>
    <col min="15621" max="15621" width="5.140625" style="584" customWidth="1"/>
    <col min="15622" max="15622" width="8.140625" style="584" customWidth="1"/>
    <col min="15623" max="15623" width="8.5703125" style="584" customWidth="1"/>
    <col min="15624" max="15624" width="10" style="584" customWidth="1"/>
    <col min="15625" max="15695" width="8.7109375" style="584" customWidth="1"/>
    <col min="15696" max="15872" width="9.140625" style="584"/>
    <col min="15873" max="15874" width="13.28515625" style="584" customWidth="1"/>
    <col min="15875" max="15876" width="12.140625" style="584" customWidth="1"/>
    <col min="15877" max="15877" width="5.140625" style="584" customWidth="1"/>
    <col min="15878" max="15878" width="8.140625" style="584" customWidth="1"/>
    <col min="15879" max="15879" width="8.5703125" style="584" customWidth="1"/>
    <col min="15880" max="15880" width="10" style="584" customWidth="1"/>
    <col min="15881" max="15951" width="8.7109375" style="584" customWidth="1"/>
    <col min="15952" max="16128" width="9.140625" style="584"/>
    <col min="16129" max="16130" width="13.28515625" style="584" customWidth="1"/>
    <col min="16131" max="16132" width="12.140625" style="584" customWidth="1"/>
    <col min="16133" max="16133" width="5.140625" style="584" customWidth="1"/>
    <col min="16134" max="16134" width="8.140625" style="584" customWidth="1"/>
    <col min="16135" max="16135" width="8.5703125" style="584" customWidth="1"/>
    <col min="16136" max="16136" width="10" style="584" customWidth="1"/>
    <col min="16137" max="16207" width="8.7109375" style="584" customWidth="1"/>
    <col min="16208" max="16384" width="9.140625" style="584"/>
  </cols>
  <sheetData>
    <row r="1" spans="1:84" s="433" customFormat="1" ht="26.25" x14ac:dyDescent="0.4">
      <c r="H1" s="434"/>
      <c r="I1" s="435"/>
      <c r="J1" s="435"/>
      <c r="K1" s="434"/>
      <c r="L1" s="435"/>
      <c r="M1" s="435"/>
      <c r="N1" s="434"/>
      <c r="O1" s="435"/>
      <c r="P1" s="435"/>
      <c r="Q1" s="434"/>
      <c r="R1" s="435"/>
      <c r="S1" s="435"/>
      <c r="T1" s="434"/>
      <c r="U1" s="435"/>
      <c r="V1" s="435"/>
      <c r="W1" s="434"/>
      <c r="X1" s="435"/>
      <c r="Y1" s="435"/>
      <c r="Z1" s="434"/>
      <c r="AA1" s="435"/>
      <c r="AB1" s="435"/>
      <c r="AC1" s="434"/>
      <c r="AD1" s="435"/>
      <c r="AE1" s="435"/>
      <c r="AF1" s="434"/>
      <c r="AG1" s="435"/>
      <c r="AH1" s="435"/>
      <c r="AI1" s="434"/>
      <c r="AJ1" s="435"/>
      <c r="AK1" s="435"/>
      <c r="AL1" s="434"/>
      <c r="AM1" s="435"/>
      <c r="AN1" s="435"/>
      <c r="AO1" s="434"/>
      <c r="AP1" s="435"/>
      <c r="AQ1" s="436"/>
      <c r="AR1" s="434"/>
      <c r="AS1" s="435"/>
      <c r="AT1" s="435"/>
      <c r="AU1" s="434"/>
      <c r="AV1" s="435"/>
      <c r="AW1" s="435"/>
      <c r="AX1" s="434"/>
      <c r="AY1" s="435"/>
      <c r="AZ1" s="435"/>
      <c r="BA1" s="434"/>
      <c r="BB1" s="435"/>
      <c r="BC1" s="435"/>
      <c r="BD1" s="434"/>
      <c r="BE1" s="435"/>
      <c r="BF1" s="435"/>
      <c r="BG1" s="434"/>
      <c r="BH1" s="435"/>
      <c r="BI1" s="435"/>
      <c r="BJ1" s="434"/>
      <c r="BK1" s="435"/>
      <c r="BL1" s="435"/>
      <c r="BM1" s="434"/>
      <c r="BN1" s="435"/>
      <c r="BO1" s="435"/>
      <c r="BP1" s="434"/>
      <c r="BQ1" s="435"/>
      <c r="BR1" s="435"/>
      <c r="BS1" s="434"/>
      <c r="BT1" s="435"/>
      <c r="BU1" s="435"/>
      <c r="BV1" s="434"/>
      <c r="BW1" s="435"/>
      <c r="BX1" s="435"/>
      <c r="BY1" s="434"/>
      <c r="BZ1" s="435"/>
      <c r="CA1" s="437"/>
    </row>
    <row r="2" spans="1:84" s="433" customFormat="1" ht="16.5" x14ac:dyDescent="0.25">
      <c r="H2" s="434"/>
      <c r="I2" s="972"/>
      <c r="J2" s="973"/>
      <c r="K2" s="434"/>
      <c r="L2" s="972"/>
      <c r="M2" s="973"/>
      <c r="N2" s="434"/>
      <c r="O2" s="972"/>
      <c r="P2" s="973"/>
      <c r="Q2" s="434"/>
      <c r="R2" s="972"/>
      <c r="S2" s="973"/>
      <c r="T2" s="434"/>
      <c r="U2" s="972"/>
      <c r="V2" s="973"/>
      <c r="W2" s="434"/>
      <c r="X2" s="972"/>
      <c r="Y2" s="973"/>
      <c r="Z2" s="434"/>
      <c r="AA2" s="972"/>
      <c r="AB2" s="973"/>
      <c r="AC2" s="434"/>
      <c r="AD2" s="972"/>
      <c r="AE2" s="973"/>
      <c r="AF2" s="434"/>
      <c r="AG2" s="972"/>
      <c r="AH2" s="973"/>
      <c r="AI2" s="434"/>
      <c r="AJ2" s="972"/>
      <c r="AK2" s="973"/>
      <c r="AL2" s="434"/>
      <c r="AM2" s="435"/>
      <c r="AN2" s="435"/>
      <c r="AO2" s="434"/>
      <c r="AP2" s="435"/>
      <c r="AQ2" s="435"/>
      <c r="AR2" s="434"/>
      <c r="AS2" s="435"/>
      <c r="AT2" s="435"/>
      <c r="AU2" s="434"/>
      <c r="AV2" s="435"/>
      <c r="AW2" s="435"/>
      <c r="AX2" s="434"/>
      <c r="AY2" s="435"/>
      <c r="AZ2" s="435"/>
      <c r="BA2" s="434"/>
      <c r="BB2" s="435"/>
      <c r="BC2" s="435"/>
      <c r="BD2" s="434"/>
      <c r="BE2" s="435"/>
      <c r="BF2" s="435"/>
      <c r="BG2" s="434"/>
      <c r="BH2" s="435"/>
      <c r="BI2" s="435"/>
      <c r="BJ2" s="434"/>
      <c r="BK2" s="435"/>
      <c r="BL2" s="435"/>
      <c r="BM2" s="434"/>
      <c r="BN2" s="435"/>
      <c r="BO2" s="435"/>
      <c r="BP2" s="434"/>
      <c r="BQ2" s="435"/>
      <c r="BR2" s="435"/>
      <c r="BS2" s="434"/>
      <c r="BT2" s="435"/>
      <c r="BU2" s="435"/>
      <c r="BV2" s="434"/>
      <c r="BW2" s="435"/>
      <c r="BX2" s="435"/>
      <c r="BY2" s="434"/>
      <c r="BZ2" s="435"/>
      <c r="CA2" s="435"/>
    </row>
    <row r="3" spans="1:84" s="433" customFormat="1" ht="26.25" customHeight="1" x14ac:dyDescent="0.35">
      <c r="A3" s="1452" t="s">
        <v>2120</v>
      </c>
      <c r="B3" s="1452"/>
      <c r="C3" s="1452"/>
      <c r="D3" s="1452"/>
      <c r="E3" s="1452"/>
      <c r="F3" s="1452"/>
      <c r="G3" s="1452"/>
      <c r="H3" s="1452"/>
      <c r="I3" s="1452"/>
      <c r="J3" s="1452"/>
      <c r="K3" s="1452"/>
      <c r="L3" s="1452"/>
      <c r="M3" s="1452"/>
      <c r="N3" s="1452"/>
      <c r="O3" s="1452"/>
      <c r="P3" s="1452"/>
      <c r="Q3" s="1452"/>
      <c r="R3" s="1452"/>
      <c r="S3" s="1452"/>
      <c r="T3" s="1452"/>
      <c r="U3" s="1452"/>
      <c r="V3" s="1452"/>
      <c r="W3" s="1452"/>
      <c r="X3" s="1452"/>
      <c r="Y3" s="1452"/>
      <c r="Z3" s="1452"/>
      <c r="AA3" s="1452"/>
      <c r="AB3" s="1452"/>
      <c r="AC3" s="1452"/>
      <c r="AD3" s="1452"/>
      <c r="AE3" s="1452"/>
      <c r="AF3" s="1452"/>
      <c r="AG3" s="1452"/>
      <c r="AH3" s="1452"/>
      <c r="AI3" s="1452"/>
      <c r="AJ3" s="1452"/>
      <c r="AK3" s="1452"/>
      <c r="AL3" s="1452"/>
      <c r="AM3" s="1452"/>
      <c r="AN3" s="1452"/>
      <c r="AO3" s="1452"/>
      <c r="AP3" s="1452"/>
      <c r="AQ3" s="1452"/>
      <c r="BV3" s="438"/>
      <c r="BW3" s="438"/>
      <c r="BX3" s="438"/>
      <c r="BY3" s="439"/>
      <c r="BZ3" s="438"/>
      <c r="CA3" s="438"/>
      <c r="CB3" s="438"/>
      <c r="CC3" s="438"/>
    </row>
    <row r="4" spans="1:84" s="446" customFormat="1" ht="27.75" x14ac:dyDescent="0.4">
      <c r="A4" s="433"/>
      <c r="B4" s="438"/>
      <c r="C4" s="438"/>
      <c r="D4" s="438"/>
      <c r="E4" s="438"/>
      <c r="F4" s="440"/>
      <c r="G4" s="438"/>
      <c r="H4" s="438"/>
      <c r="I4" s="433"/>
      <c r="J4" s="433"/>
      <c r="K4" s="441"/>
      <c r="L4" s="441"/>
      <c r="M4" s="441"/>
      <c r="N4" s="442"/>
      <c r="O4" s="438"/>
      <c r="P4" s="438"/>
      <c r="Q4" s="433"/>
      <c r="R4" s="433"/>
      <c r="S4" s="433"/>
      <c r="T4" s="433"/>
      <c r="U4" s="433"/>
      <c r="V4" s="433"/>
      <c r="W4" s="433"/>
      <c r="X4" s="433"/>
      <c r="Y4" s="433"/>
      <c r="Z4" s="433"/>
      <c r="AA4" s="433"/>
      <c r="AB4" s="433"/>
      <c r="AC4" s="433"/>
      <c r="AD4" s="433"/>
      <c r="AE4" s="433"/>
      <c r="AF4" s="433"/>
      <c r="AG4" s="433"/>
      <c r="AH4" s="433"/>
      <c r="AI4" s="433"/>
      <c r="AJ4" s="433"/>
      <c r="AK4" s="433"/>
      <c r="AL4" s="433"/>
      <c r="AM4" s="443" t="s">
        <v>2121</v>
      </c>
      <c r="AN4" s="1453">
        <v>41990</v>
      </c>
      <c r="AO4" s="1453"/>
      <c r="AP4" s="1453"/>
      <c r="AQ4" s="1453"/>
      <c r="AR4" s="433"/>
      <c r="AS4" s="433"/>
      <c r="AT4" s="433"/>
      <c r="AU4" s="433"/>
      <c r="AV4" s="433"/>
      <c r="AW4" s="433"/>
      <c r="AX4" s="433"/>
      <c r="AY4" s="433"/>
      <c r="AZ4" s="433"/>
      <c r="BA4" s="433"/>
      <c r="BB4" s="433"/>
      <c r="BC4" s="433"/>
      <c r="BD4" s="433"/>
      <c r="BE4" s="433"/>
      <c r="BF4" s="433"/>
      <c r="BG4" s="433"/>
      <c r="BH4" s="433"/>
      <c r="BI4" s="433"/>
      <c r="BJ4" s="433"/>
      <c r="BK4" s="433"/>
      <c r="BL4" s="433"/>
      <c r="BM4" s="433"/>
      <c r="BN4" s="433"/>
      <c r="BO4" s="433"/>
      <c r="BP4" s="433"/>
      <c r="BQ4" s="433"/>
      <c r="BR4" s="433"/>
      <c r="BS4" s="433"/>
      <c r="BT4" s="433"/>
      <c r="BU4" s="433"/>
      <c r="BV4" s="444"/>
      <c r="BW4" s="438"/>
      <c r="BX4" s="1454"/>
      <c r="BY4" s="1454"/>
      <c r="BZ4" s="1454"/>
      <c r="CA4" s="1454"/>
      <c r="CB4" s="445"/>
      <c r="CC4" s="445"/>
    </row>
    <row r="5" spans="1:84" s="446" customFormat="1" ht="18" thickBot="1" x14ac:dyDescent="0.35">
      <c r="A5" s="433"/>
      <c r="B5" s="438"/>
      <c r="C5" s="438"/>
      <c r="D5" s="438"/>
      <c r="E5" s="438"/>
      <c r="F5" s="440"/>
      <c r="G5" s="438"/>
      <c r="H5" s="438"/>
      <c r="I5" s="433"/>
      <c r="J5" s="433"/>
      <c r="K5" s="438"/>
      <c r="L5" s="433"/>
      <c r="M5" s="433"/>
      <c r="N5" s="438"/>
      <c r="O5" s="433"/>
      <c r="P5" s="433"/>
      <c r="Q5" s="438"/>
      <c r="R5" s="433"/>
      <c r="S5" s="433"/>
      <c r="T5" s="438"/>
      <c r="U5" s="433"/>
      <c r="V5" s="433"/>
      <c r="W5" s="438"/>
      <c r="X5" s="433"/>
      <c r="Y5" s="433"/>
      <c r="Z5" s="438"/>
      <c r="AA5" s="433"/>
      <c r="AB5" s="433"/>
      <c r="AC5" s="438"/>
      <c r="AD5" s="433"/>
      <c r="AE5" s="433"/>
      <c r="AF5" s="438"/>
      <c r="AG5" s="433"/>
      <c r="AH5" s="433"/>
      <c r="AI5" s="438"/>
      <c r="AJ5" s="433"/>
      <c r="AK5" s="433"/>
      <c r="AL5" s="438"/>
      <c r="AM5" s="433"/>
      <c r="AN5" s="433"/>
      <c r="AO5" s="438"/>
      <c r="AP5" s="433"/>
      <c r="AQ5" s="433"/>
      <c r="AR5" s="433"/>
      <c r="AS5" s="433"/>
      <c r="AT5" s="433"/>
      <c r="AU5" s="433"/>
      <c r="AV5" s="433"/>
      <c r="AW5" s="433"/>
      <c r="AX5" s="433"/>
      <c r="AY5" s="433"/>
      <c r="AZ5" s="433"/>
      <c r="BA5" s="433"/>
      <c r="BB5" s="433"/>
      <c r="BC5" s="433"/>
      <c r="BD5" s="433"/>
      <c r="BE5" s="433"/>
      <c r="BF5" s="433"/>
      <c r="BG5" s="433"/>
      <c r="BH5" s="433"/>
      <c r="BI5" s="433"/>
      <c r="BJ5" s="433"/>
      <c r="BK5" s="433"/>
      <c r="BL5" s="433"/>
      <c r="BM5" s="433"/>
      <c r="BN5" s="433"/>
      <c r="BO5" s="433"/>
      <c r="BP5" s="433"/>
      <c r="BQ5" s="433"/>
      <c r="BR5" s="433"/>
      <c r="BS5" s="433"/>
      <c r="BT5" s="433"/>
      <c r="BU5" s="433"/>
      <c r="BV5" s="433"/>
      <c r="BW5" s="433"/>
      <c r="BX5" s="438"/>
      <c r="BY5" s="438"/>
      <c r="BZ5" s="1455"/>
      <c r="CA5" s="1455"/>
      <c r="CB5" s="445"/>
      <c r="CC5" s="445"/>
    </row>
    <row r="6" spans="1:84" s="446" customFormat="1" ht="16.5" customHeight="1" thickBot="1" x14ac:dyDescent="0.3">
      <c r="A6" s="1435" t="s">
        <v>2</v>
      </c>
      <c r="B6" s="1436"/>
      <c r="C6" s="1436"/>
      <c r="D6" s="1436"/>
      <c r="E6" s="1436"/>
      <c r="F6" s="1436"/>
      <c r="G6" s="1437"/>
      <c r="H6" s="1420" t="s">
        <v>3</v>
      </c>
      <c r="I6" s="1421"/>
      <c r="J6" s="1422"/>
      <c r="K6" s="1420" t="s">
        <v>4</v>
      </c>
      <c r="L6" s="1421"/>
      <c r="M6" s="1422"/>
      <c r="N6" s="1420" t="s">
        <v>102</v>
      </c>
      <c r="O6" s="1421"/>
      <c r="P6" s="1422"/>
      <c r="Q6" s="1420" t="s">
        <v>103</v>
      </c>
      <c r="R6" s="1421"/>
      <c r="S6" s="1422"/>
      <c r="T6" s="1420" t="s">
        <v>104</v>
      </c>
      <c r="U6" s="1421"/>
      <c r="V6" s="1422"/>
      <c r="W6" s="1420" t="s">
        <v>105</v>
      </c>
      <c r="X6" s="1421"/>
      <c r="Y6" s="1422"/>
      <c r="Z6" s="1420" t="s">
        <v>106</v>
      </c>
      <c r="AA6" s="1421"/>
      <c r="AB6" s="1422"/>
      <c r="AC6" s="1420" t="s">
        <v>108</v>
      </c>
      <c r="AD6" s="1421"/>
      <c r="AE6" s="1422"/>
      <c r="AF6" s="1420" t="s">
        <v>107</v>
      </c>
      <c r="AG6" s="1421"/>
      <c r="AH6" s="1422"/>
      <c r="AI6" s="1420" t="s">
        <v>109</v>
      </c>
      <c r="AJ6" s="1421"/>
      <c r="AK6" s="1422"/>
      <c r="AL6" s="1420" t="s">
        <v>110</v>
      </c>
      <c r="AM6" s="1421"/>
      <c r="AN6" s="1422"/>
      <c r="AO6" s="1420" t="s">
        <v>111</v>
      </c>
      <c r="AP6" s="1421"/>
      <c r="AQ6" s="1422"/>
      <c r="BX6" s="445"/>
      <c r="BY6" s="445"/>
      <c r="BZ6" s="445"/>
      <c r="CA6" s="445"/>
      <c r="CB6" s="445"/>
      <c r="CC6" s="445"/>
    </row>
    <row r="7" spans="1:84" s="446" customFormat="1" ht="16.5" customHeight="1" x14ac:dyDescent="0.25">
      <c r="A7" s="1423" t="s">
        <v>2122</v>
      </c>
      <c r="B7" s="1424"/>
      <c r="C7" s="1427" t="s">
        <v>2123</v>
      </c>
      <c r="D7" s="1429"/>
      <c r="E7" s="1430"/>
      <c r="F7" s="1430"/>
      <c r="G7" s="1431"/>
      <c r="H7" s="447" t="s">
        <v>2124</v>
      </c>
      <c r="I7" s="448" t="s">
        <v>2125</v>
      </c>
      <c r="J7" s="449" t="s">
        <v>2126</v>
      </c>
      <c r="K7" s="447" t="s">
        <v>2124</v>
      </c>
      <c r="L7" s="448" t="s">
        <v>2125</v>
      </c>
      <c r="M7" s="449" t="s">
        <v>2126</v>
      </c>
      <c r="N7" s="447" t="s">
        <v>2124</v>
      </c>
      <c r="O7" s="448" t="s">
        <v>2125</v>
      </c>
      <c r="P7" s="449" t="s">
        <v>2126</v>
      </c>
      <c r="Q7" s="447" t="s">
        <v>2124</v>
      </c>
      <c r="R7" s="448" t="s">
        <v>2125</v>
      </c>
      <c r="S7" s="449" t="s">
        <v>2126</v>
      </c>
      <c r="T7" s="447" t="s">
        <v>2124</v>
      </c>
      <c r="U7" s="448" t="s">
        <v>2125</v>
      </c>
      <c r="V7" s="449" t="s">
        <v>2126</v>
      </c>
      <c r="W7" s="447" t="s">
        <v>2124</v>
      </c>
      <c r="X7" s="448" t="s">
        <v>2125</v>
      </c>
      <c r="Y7" s="449" t="s">
        <v>2126</v>
      </c>
      <c r="Z7" s="447" t="s">
        <v>2124</v>
      </c>
      <c r="AA7" s="448" t="s">
        <v>2125</v>
      </c>
      <c r="AB7" s="449" t="s">
        <v>2126</v>
      </c>
      <c r="AC7" s="447" t="s">
        <v>2124</v>
      </c>
      <c r="AD7" s="448" t="s">
        <v>2125</v>
      </c>
      <c r="AE7" s="449" t="s">
        <v>2126</v>
      </c>
      <c r="AF7" s="447" t="s">
        <v>2124</v>
      </c>
      <c r="AG7" s="448" t="s">
        <v>2125</v>
      </c>
      <c r="AH7" s="449" t="s">
        <v>2126</v>
      </c>
      <c r="AI7" s="447" t="s">
        <v>2124</v>
      </c>
      <c r="AJ7" s="448" t="s">
        <v>2125</v>
      </c>
      <c r="AK7" s="449" t="s">
        <v>2126</v>
      </c>
      <c r="AL7" s="447" t="s">
        <v>2124</v>
      </c>
      <c r="AM7" s="448" t="s">
        <v>2125</v>
      </c>
      <c r="AN7" s="449" t="s">
        <v>2126</v>
      </c>
      <c r="AO7" s="447" t="s">
        <v>2124</v>
      </c>
      <c r="AP7" s="448" t="s">
        <v>2125</v>
      </c>
      <c r="AQ7" s="449" t="s">
        <v>2126</v>
      </c>
    </row>
    <row r="8" spans="1:84" s="446" customFormat="1" ht="16.5" customHeight="1" thickBot="1" x14ac:dyDescent="0.3">
      <c r="A8" s="1425"/>
      <c r="B8" s="1426"/>
      <c r="C8" s="1428"/>
      <c r="D8" s="1432"/>
      <c r="E8" s="1433"/>
      <c r="F8" s="1433"/>
      <c r="G8" s="1434"/>
      <c r="H8" s="450" t="s">
        <v>2127</v>
      </c>
      <c r="I8" s="451" t="s">
        <v>2128</v>
      </c>
      <c r="J8" s="452" t="s">
        <v>2129</v>
      </c>
      <c r="K8" s="450" t="s">
        <v>2127</v>
      </c>
      <c r="L8" s="451" t="s">
        <v>2128</v>
      </c>
      <c r="M8" s="452" t="s">
        <v>2129</v>
      </c>
      <c r="N8" s="450" t="s">
        <v>2127</v>
      </c>
      <c r="O8" s="451" t="s">
        <v>2128</v>
      </c>
      <c r="P8" s="452" t="s">
        <v>2129</v>
      </c>
      <c r="Q8" s="450" t="s">
        <v>2127</v>
      </c>
      <c r="R8" s="451" t="s">
        <v>2128</v>
      </c>
      <c r="S8" s="452" t="s">
        <v>2129</v>
      </c>
      <c r="T8" s="450" t="s">
        <v>2127</v>
      </c>
      <c r="U8" s="451" t="s">
        <v>2128</v>
      </c>
      <c r="V8" s="452" t="s">
        <v>2129</v>
      </c>
      <c r="W8" s="450" t="s">
        <v>2127</v>
      </c>
      <c r="X8" s="451" t="s">
        <v>2128</v>
      </c>
      <c r="Y8" s="452" t="s">
        <v>2129</v>
      </c>
      <c r="Z8" s="450" t="s">
        <v>2127</v>
      </c>
      <c r="AA8" s="451" t="s">
        <v>2128</v>
      </c>
      <c r="AB8" s="452" t="s">
        <v>2129</v>
      </c>
      <c r="AC8" s="450" t="s">
        <v>2127</v>
      </c>
      <c r="AD8" s="451" t="s">
        <v>2128</v>
      </c>
      <c r="AE8" s="452" t="s">
        <v>2129</v>
      </c>
      <c r="AF8" s="450" t="s">
        <v>2127</v>
      </c>
      <c r="AG8" s="451" t="s">
        <v>2128</v>
      </c>
      <c r="AH8" s="452" t="s">
        <v>2129</v>
      </c>
      <c r="AI8" s="450" t="s">
        <v>2127</v>
      </c>
      <c r="AJ8" s="451" t="s">
        <v>2128</v>
      </c>
      <c r="AK8" s="452" t="s">
        <v>2129</v>
      </c>
      <c r="AL8" s="450" t="s">
        <v>2127</v>
      </c>
      <c r="AM8" s="451" t="s">
        <v>2128</v>
      </c>
      <c r="AN8" s="452" t="s">
        <v>2129</v>
      </c>
      <c r="AO8" s="450" t="s">
        <v>2127</v>
      </c>
      <c r="AP8" s="451" t="s">
        <v>2128</v>
      </c>
      <c r="AQ8" s="452" t="s">
        <v>2129</v>
      </c>
    </row>
    <row r="9" spans="1:84" s="433" customFormat="1" ht="16.5" customHeight="1" x14ac:dyDescent="0.25">
      <c r="A9" s="1411" t="s">
        <v>12</v>
      </c>
      <c r="B9" s="1390"/>
      <c r="C9" s="1358">
        <v>25</v>
      </c>
      <c r="D9" s="1414" t="s">
        <v>13</v>
      </c>
      <c r="E9" s="1415"/>
      <c r="F9" s="1394" t="s">
        <v>44</v>
      </c>
      <c r="G9" s="1395"/>
      <c r="H9" s="453">
        <f>SQRT(I9^2+J9^2)*1000/(1.73*H12)</f>
        <v>17.204516269441804</v>
      </c>
      <c r="I9" s="454">
        <v>2.8639999999999999</v>
      </c>
      <c r="J9" s="455">
        <v>2.0328700879358053</v>
      </c>
      <c r="K9" s="453">
        <f>SQRT(L9^2+M9^2)*1000/(1.73*K12)</f>
        <v>20.387298997352566</v>
      </c>
      <c r="L9" s="454">
        <v>3.3679999999999999</v>
      </c>
      <c r="M9" s="455">
        <v>2.4449297412558626</v>
      </c>
      <c r="N9" s="453">
        <f>SQRT(O9^2+P9^2)*1000/(1.73*N12)</f>
        <v>20.360353371471092</v>
      </c>
      <c r="O9" s="454">
        <v>3.49</v>
      </c>
      <c r="P9" s="455">
        <v>2.2572659438074161</v>
      </c>
      <c r="Q9" s="453">
        <f>SQRT(R9^2+S9^2)*1000/(1.73*Q12)</f>
        <v>19.489464124807437</v>
      </c>
      <c r="R9" s="454">
        <v>3.0529999999999999</v>
      </c>
      <c r="S9" s="455">
        <v>2.5511337679358048</v>
      </c>
      <c r="T9" s="453">
        <f>SQRT(U9^2+V9^2)*1000/(1.73*T12)</f>
        <v>15.315159911556671</v>
      </c>
      <c r="U9" s="454">
        <v>2.7120000000000002</v>
      </c>
      <c r="V9" s="455">
        <v>1.5555265077753189</v>
      </c>
      <c r="W9" s="453">
        <f>SQRT(X9^2+Y9^2)*1000/(1.73*W12)</f>
        <v>14.460987124358788</v>
      </c>
      <c r="X9" s="454">
        <v>2.536</v>
      </c>
      <c r="Y9" s="455">
        <v>1.5110913758716107</v>
      </c>
      <c r="Z9" s="453">
        <f>SQRT(AA9^2+AB9^2)*1000/(1.73*Z12)</f>
        <v>15.942393674907306</v>
      </c>
      <c r="AA9" s="454">
        <v>2.5739999999999998</v>
      </c>
      <c r="AB9" s="455">
        <v>1.9000446479358051</v>
      </c>
      <c r="AC9" s="453">
        <f>SQRT(AD9^2+AE9^2)*1000/(1.73*AC12)</f>
        <v>18.752617664487079</v>
      </c>
      <c r="AD9" s="454">
        <v>3.2679999999999998</v>
      </c>
      <c r="AE9" s="455">
        <v>1.866123543807416</v>
      </c>
      <c r="AF9" s="453">
        <f>SQRT(AG9^2+AH9^2)*1000/(1.73*AF12)</f>
        <v>17.880962792327423</v>
      </c>
      <c r="AG9" s="454">
        <v>2.8096000000000001</v>
      </c>
      <c r="AH9" s="455">
        <v>2.2321324198395134</v>
      </c>
      <c r="AI9" s="453">
        <f>SQRT(AJ9^2+AK9^2)*1000/(1.73*AI12)</f>
        <v>18.066795637189401</v>
      </c>
      <c r="AJ9" s="454">
        <v>2.9220000000000002</v>
      </c>
      <c r="AK9" s="455">
        <v>2.1464422638074159</v>
      </c>
      <c r="AL9" s="453">
        <f>SQRT(AM9^2+AN9^2)*1000/(1.73*AL12)</f>
        <v>14.530024464073096</v>
      </c>
      <c r="AM9" s="454">
        <v>2.3769999999999998</v>
      </c>
      <c r="AN9" s="455">
        <v>1.688862971903708</v>
      </c>
      <c r="AO9" s="453">
        <f>SQRT(AP9^2+AQ9^2)*1000/(1.73*AO12)</f>
        <v>17.415177163327947</v>
      </c>
      <c r="AP9" s="454">
        <v>2.8730000000000002</v>
      </c>
      <c r="AQ9" s="455">
        <v>1.9899853038074162</v>
      </c>
      <c r="AR9" s="456"/>
      <c r="AS9" s="456"/>
      <c r="CB9" s="456"/>
      <c r="CC9" s="456"/>
      <c r="CE9" s="456"/>
      <c r="CF9" s="456"/>
    </row>
    <row r="10" spans="1:84" s="433" customFormat="1" ht="16.5" customHeight="1" thickBot="1" x14ac:dyDescent="0.3">
      <c r="A10" s="1412"/>
      <c r="B10" s="1413"/>
      <c r="C10" s="1359"/>
      <c r="D10" s="1416"/>
      <c r="E10" s="1417"/>
      <c r="F10" s="1396" t="s">
        <v>46</v>
      </c>
      <c r="G10" s="1397"/>
      <c r="H10" s="457">
        <f>SQRT(I10^2+J10^2)*1000/(1.73*H13)</f>
        <v>190.90776128026877</v>
      </c>
      <c r="I10" s="458">
        <v>2.8359999999999999</v>
      </c>
      <c r="J10" s="459">
        <v>1.9957491536774057</v>
      </c>
      <c r="K10" s="457">
        <f>SQRT(L10^2+M10^2)*1000/(1.73*K13)</f>
        <v>226.96324706838755</v>
      </c>
      <c r="L10" s="458">
        <v>3.3403999999999998</v>
      </c>
      <c r="M10" s="459">
        <v>2.4164237305161089</v>
      </c>
      <c r="N10" s="457">
        <f>SQRT(O10^2+P10^2)*1000/(1.73*N13)</f>
        <v>227.34562793997759</v>
      </c>
      <c r="O10" s="458">
        <v>3.4847999999999999</v>
      </c>
      <c r="P10" s="459">
        <v>2.2160474610322169</v>
      </c>
      <c r="Q10" s="457">
        <f>SQRT(R10^2+S10^2)*1000/(1.73*Q13)</f>
        <v>216.08919760962129</v>
      </c>
      <c r="R10" s="458">
        <v>3.0224000000000002</v>
      </c>
      <c r="S10" s="459">
        <v>2.5045491536774054</v>
      </c>
      <c r="T10" s="457">
        <f>SQRT(U10^2+V10^2)*1000/(1.73*T13)</f>
        <v>172.03178575709572</v>
      </c>
      <c r="U10" s="458">
        <v>2.7263999999999999</v>
      </c>
      <c r="V10" s="459">
        <v>1.5271220378709198</v>
      </c>
      <c r="W10" s="457">
        <f>SQRT(X10^2+Y10^2)*1000/(1.73*W13)</f>
        <v>161.39965877844548</v>
      </c>
      <c r="X10" s="458">
        <v>2.5287999999999999</v>
      </c>
      <c r="Y10" s="459">
        <v>1.4834983073548114</v>
      </c>
      <c r="Z10" s="457">
        <f>SQRT(AA10^2+AB10^2)*1000/(1.73*Z13)</f>
        <v>173.94756544554249</v>
      </c>
      <c r="AA10" s="458">
        <v>2.5504000000000002</v>
      </c>
      <c r="AB10" s="459">
        <v>1.8653491536774054</v>
      </c>
      <c r="AC10" s="457">
        <f>SQRT(AD10^2+AE10^2)*1000/(1.73*AC13)</f>
        <v>206.1327454942888</v>
      </c>
      <c r="AD10" s="458">
        <v>3.2656000000000001</v>
      </c>
      <c r="AE10" s="459">
        <v>1.8320474610322168</v>
      </c>
      <c r="AF10" s="457">
        <f>SQRT(AG10^2+AH10^2)*1000/(1.73*AF13)</f>
        <v>195.2871484860627</v>
      </c>
      <c r="AG10" s="458">
        <v>2.7896000000000001</v>
      </c>
      <c r="AH10" s="459">
        <v>2.1913728841935143</v>
      </c>
      <c r="AI10" s="457">
        <f>SQRT(AJ10^2+AK10^2)*1000/(1.73*AI13)</f>
        <v>198.48607652571766</v>
      </c>
      <c r="AJ10" s="458">
        <v>2.9255999999999998</v>
      </c>
      <c r="AK10" s="459">
        <v>2.1072474610322169</v>
      </c>
      <c r="AL10" s="457">
        <f>SQRT(AM10^2+AN10^2)*1000/(1.73*AL13)</f>
        <v>158.99447539621343</v>
      </c>
      <c r="AM10" s="458">
        <v>2.3648000000000002</v>
      </c>
      <c r="AN10" s="459">
        <v>1.6580237305161085</v>
      </c>
      <c r="AO10" s="457">
        <f>SQRT(AP10^2+AQ10^2)*1000/(1.73*AO13)</f>
        <v>191.43728926460474</v>
      </c>
      <c r="AP10" s="458">
        <v>2.8768000000000002</v>
      </c>
      <c r="AQ10" s="459">
        <v>1.953647461032217</v>
      </c>
      <c r="AR10" s="456"/>
      <c r="AS10" s="456"/>
      <c r="CB10" s="456"/>
      <c r="CC10" s="456"/>
      <c r="CE10" s="456"/>
      <c r="CF10" s="456"/>
    </row>
    <row r="11" spans="1:84" s="433" customFormat="1" ht="16.5" customHeight="1" thickBot="1" x14ac:dyDescent="0.3">
      <c r="A11" s="1412"/>
      <c r="B11" s="1413"/>
      <c r="C11" s="1359"/>
      <c r="D11" s="1402" t="s">
        <v>2130</v>
      </c>
      <c r="E11" s="1403"/>
      <c r="F11" s="1403"/>
      <c r="G11" s="1404"/>
      <c r="H11" s="1443">
        <v>8</v>
      </c>
      <c r="I11" s="1444"/>
      <c r="J11" s="1445"/>
      <c r="K11" s="1443">
        <v>8</v>
      </c>
      <c r="L11" s="1444"/>
      <c r="M11" s="1445"/>
      <c r="N11" s="1443">
        <v>8</v>
      </c>
      <c r="O11" s="1444"/>
      <c r="P11" s="1445"/>
      <c r="Q11" s="1443">
        <v>8</v>
      </c>
      <c r="R11" s="1444"/>
      <c r="S11" s="1445"/>
      <c r="T11" s="1443">
        <v>8</v>
      </c>
      <c r="U11" s="1444"/>
      <c r="V11" s="1445"/>
      <c r="W11" s="1443">
        <v>8</v>
      </c>
      <c r="X11" s="1444"/>
      <c r="Y11" s="1445"/>
      <c r="Z11" s="1443">
        <v>8</v>
      </c>
      <c r="AA11" s="1444"/>
      <c r="AB11" s="1445"/>
      <c r="AC11" s="1443">
        <v>8</v>
      </c>
      <c r="AD11" s="1444"/>
      <c r="AE11" s="1445"/>
      <c r="AF11" s="1443">
        <v>8</v>
      </c>
      <c r="AG11" s="1444"/>
      <c r="AH11" s="1445"/>
      <c r="AI11" s="1443">
        <v>8</v>
      </c>
      <c r="AJ11" s="1444"/>
      <c r="AK11" s="1445"/>
      <c r="AL11" s="1443">
        <v>8</v>
      </c>
      <c r="AM11" s="1444"/>
      <c r="AN11" s="1445"/>
      <c r="AO11" s="1443">
        <v>8</v>
      </c>
      <c r="AP11" s="1444"/>
      <c r="AQ11" s="1445"/>
    </row>
    <row r="12" spans="1:84" s="433" customFormat="1" ht="16.5" customHeight="1" x14ac:dyDescent="0.25">
      <c r="A12" s="1412"/>
      <c r="B12" s="1413"/>
      <c r="C12" s="1359"/>
      <c r="D12" s="1388" t="s">
        <v>2131</v>
      </c>
      <c r="E12" s="1390"/>
      <c r="F12" s="1394" t="s">
        <v>44</v>
      </c>
      <c r="G12" s="1395"/>
      <c r="H12" s="1449">
        <v>118</v>
      </c>
      <c r="I12" s="1450"/>
      <c r="J12" s="1451"/>
      <c r="K12" s="1385">
        <v>118</v>
      </c>
      <c r="L12" s="1386"/>
      <c r="M12" s="1387"/>
      <c r="N12" s="1385">
        <v>118</v>
      </c>
      <c r="O12" s="1386"/>
      <c r="P12" s="1387"/>
      <c r="Q12" s="1385">
        <v>118</v>
      </c>
      <c r="R12" s="1386"/>
      <c r="S12" s="1387"/>
      <c r="T12" s="1385">
        <v>118</v>
      </c>
      <c r="U12" s="1386"/>
      <c r="V12" s="1387"/>
      <c r="W12" s="1385">
        <v>118</v>
      </c>
      <c r="X12" s="1386"/>
      <c r="Y12" s="1387"/>
      <c r="Z12" s="1385">
        <v>116</v>
      </c>
      <c r="AA12" s="1386"/>
      <c r="AB12" s="1387"/>
      <c r="AC12" s="1385">
        <v>116</v>
      </c>
      <c r="AD12" s="1386"/>
      <c r="AE12" s="1387"/>
      <c r="AF12" s="1385">
        <v>116</v>
      </c>
      <c r="AG12" s="1386"/>
      <c r="AH12" s="1387"/>
      <c r="AI12" s="1385">
        <v>116</v>
      </c>
      <c r="AJ12" s="1386"/>
      <c r="AK12" s="1387"/>
      <c r="AL12" s="1385">
        <v>116</v>
      </c>
      <c r="AM12" s="1386"/>
      <c r="AN12" s="1387"/>
      <c r="AO12" s="1385">
        <v>116</v>
      </c>
      <c r="AP12" s="1386"/>
      <c r="AQ12" s="1387"/>
    </row>
    <row r="13" spans="1:84" s="433" customFormat="1" ht="16.5" customHeight="1" thickBot="1" x14ac:dyDescent="0.3">
      <c r="A13" s="1412"/>
      <c r="B13" s="1413"/>
      <c r="C13" s="1359"/>
      <c r="D13" s="1391"/>
      <c r="E13" s="1393"/>
      <c r="F13" s="1396" t="s">
        <v>46</v>
      </c>
      <c r="G13" s="1397"/>
      <c r="H13" s="1446">
        <v>10.5</v>
      </c>
      <c r="I13" s="1447"/>
      <c r="J13" s="1448"/>
      <c r="K13" s="1399">
        <v>10.5</v>
      </c>
      <c r="L13" s="1400"/>
      <c r="M13" s="1401"/>
      <c r="N13" s="1399">
        <v>10.5</v>
      </c>
      <c r="O13" s="1400"/>
      <c r="P13" s="1401"/>
      <c r="Q13" s="1399">
        <v>10.5</v>
      </c>
      <c r="R13" s="1400"/>
      <c r="S13" s="1401"/>
      <c r="T13" s="1399">
        <v>10.5</v>
      </c>
      <c r="U13" s="1400"/>
      <c r="V13" s="1401"/>
      <c r="W13" s="1399">
        <v>10.5</v>
      </c>
      <c r="X13" s="1400"/>
      <c r="Y13" s="1401"/>
      <c r="Z13" s="1399">
        <v>10.5</v>
      </c>
      <c r="AA13" s="1400"/>
      <c r="AB13" s="1401"/>
      <c r="AC13" s="1399">
        <v>10.5</v>
      </c>
      <c r="AD13" s="1400"/>
      <c r="AE13" s="1401"/>
      <c r="AF13" s="1399">
        <v>10.5</v>
      </c>
      <c r="AG13" s="1400"/>
      <c r="AH13" s="1401"/>
      <c r="AI13" s="1399">
        <v>10.5</v>
      </c>
      <c r="AJ13" s="1400"/>
      <c r="AK13" s="1401"/>
      <c r="AL13" s="1399">
        <v>10.5</v>
      </c>
      <c r="AM13" s="1400"/>
      <c r="AN13" s="1401"/>
      <c r="AO13" s="1399">
        <v>10.5</v>
      </c>
      <c r="AP13" s="1400"/>
      <c r="AQ13" s="1401"/>
    </row>
    <row r="14" spans="1:84" s="433" customFormat="1" ht="16.5" customHeight="1" thickBot="1" x14ac:dyDescent="0.3">
      <c r="A14" s="1391"/>
      <c r="B14" s="1393"/>
      <c r="C14" s="1360"/>
      <c r="D14" s="1402" t="s">
        <v>31</v>
      </c>
      <c r="E14" s="1403"/>
      <c r="F14" s="1403"/>
      <c r="G14" s="1404"/>
      <c r="H14" s="1405" t="s">
        <v>124</v>
      </c>
      <c r="I14" s="1406"/>
      <c r="J14" s="1407"/>
      <c r="K14" s="1405" t="s">
        <v>124</v>
      </c>
      <c r="L14" s="1406"/>
      <c r="M14" s="1407"/>
      <c r="N14" s="1405" t="s">
        <v>124</v>
      </c>
      <c r="O14" s="1406"/>
      <c r="P14" s="1407"/>
      <c r="Q14" s="1405" t="s">
        <v>124</v>
      </c>
      <c r="R14" s="1406"/>
      <c r="S14" s="1407"/>
      <c r="T14" s="1405" t="s">
        <v>124</v>
      </c>
      <c r="U14" s="1406"/>
      <c r="V14" s="1407"/>
      <c r="W14" s="1405" t="s">
        <v>124</v>
      </c>
      <c r="X14" s="1406"/>
      <c r="Y14" s="1407"/>
      <c r="Z14" s="1405" t="s">
        <v>124</v>
      </c>
      <c r="AA14" s="1406"/>
      <c r="AB14" s="1407"/>
      <c r="AC14" s="1405" t="s">
        <v>124</v>
      </c>
      <c r="AD14" s="1406"/>
      <c r="AE14" s="1407"/>
      <c r="AF14" s="1405" t="s">
        <v>124</v>
      </c>
      <c r="AG14" s="1406"/>
      <c r="AH14" s="1407"/>
      <c r="AI14" s="1405" t="s">
        <v>124</v>
      </c>
      <c r="AJ14" s="1406"/>
      <c r="AK14" s="1407"/>
      <c r="AL14" s="1405" t="s">
        <v>124</v>
      </c>
      <c r="AM14" s="1406"/>
      <c r="AN14" s="1407"/>
      <c r="AO14" s="1405" t="s">
        <v>124</v>
      </c>
      <c r="AP14" s="1406"/>
      <c r="AQ14" s="1407"/>
    </row>
    <row r="15" spans="1:84" s="433" customFormat="1" ht="16.5" customHeight="1" x14ac:dyDescent="0.25">
      <c r="A15" s="1411" t="s">
        <v>2132</v>
      </c>
      <c r="B15" s="1390"/>
      <c r="C15" s="1358">
        <v>25</v>
      </c>
      <c r="D15" s="1414" t="s">
        <v>13</v>
      </c>
      <c r="E15" s="1415"/>
      <c r="F15" s="1394" t="s">
        <v>44</v>
      </c>
      <c r="G15" s="1418"/>
      <c r="H15" s="453">
        <f>SQRT(I15^2+J15^2)*1000/(1.73*H18)</f>
        <v>18.00150256925734</v>
      </c>
      <c r="I15" s="454">
        <v>2.9550000000000001</v>
      </c>
      <c r="J15" s="455">
        <v>2.1845655239679025</v>
      </c>
      <c r="K15" s="453">
        <f>SQRT(L15^2+M15^2)*1000/(1.73*K18)</f>
        <v>17.967570018225423</v>
      </c>
      <c r="L15" s="454">
        <v>2.95</v>
      </c>
      <c r="M15" s="455">
        <v>2.1796762439679025</v>
      </c>
      <c r="N15" s="453">
        <f>SQRT(O15^2+P15^2)*1000/(1.73*N18)</f>
        <v>17.955457547760691</v>
      </c>
      <c r="O15" s="454">
        <v>2.9430000000000001</v>
      </c>
      <c r="P15" s="455">
        <v>2.1849729639679025</v>
      </c>
      <c r="Q15" s="453">
        <f>SQRT(R15^2+S15^2)*1000/(1.73*Q18)</f>
        <v>17.963248245207769</v>
      </c>
      <c r="R15" s="454">
        <v>2.968</v>
      </c>
      <c r="S15" s="455">
        <v>2.1536000839679024</v>
      </c>
      <c r="T15" s="453">
        <f>SQRT(U15^2+V15^2)*1000/(1.73*T18)</f>
        <v>17.488092064163585</v>
      </c>
      <c r="U15" s="454">
        <v>2.9449999999999998</v>
      </c>
      <c r="V15" s="455">
        <v>2.0179225639679026</v>
      </c>
      <c r="W15" s="453">
        <f>SQRT(X15^2+Y15^2)*1000/(1.73*W18)</f>
        <v>18.182145081908445</v>
      </c>
      <c r="X15" s="454">
        <v>3.04</v>
      </c>
      <c r="Y15" s="455">
        <v>2.0742770399999997</v>
      </c>
      <c r="Z15" s="453">
        <f>SQRT(AA15^2+AB15^2)*1000/(1.73*Z18)</f>
        <v>19.293448039644812</v>
      </c>
      <c r="AA15" s="454">
        <v>3.14</v>
      </c>
      <c r="AB15" s="455">
        <v>2.2652386439679026</v>
      </c>
      <c r="AC15" s="453">
        <f>SQRT(AD15^2+AE15^2)*1000/(1.73*AC18)</f>
        <v>19.176348287890089</v>
      </c>
      <c r="AD15" s="454">
        <v>3.133</v>
      </c>
      <c r="AE15" s="455">
        <v>2.2346806439679021</v>
      </c>
      <c r="AF15" s="453">
        <f>SQRT(AG15^2+AH15^2)*1000/(1.73*AF18)</f>
        <v>18.968240218324919</v>
      </c>
      <c r="AG15" s="454">
        <v>3.117</v>
      </c>
      <c r="AH15" s="455">
        <v>2.1849729639679025</v>
      </c>
      <c r="AI15" s="453">
        <f>SQRT(AJ15^2+AK15^2)*1000/(1.73*AI18)</f>
        <v>18.693012761670133</v>
      </c>
      <c r="AJ15" s="454">
        <v>3.089</v>
      </c>
      <c r="AK15" s="455">
        <v>2.1849729639679025</v>
      </c>
      <c r="AL15" s="453">
        <f>SQRT(AM15^2+AN15^2)*1000/(1.73*AL18)</f>
        <v>18.148881857850395</v>
      </c>
      <c r="AM15" s="454">
        <v>2.9860000000000002</v>
      </c>
      <c r="AN15" s="455">
        <v>2.139747123967902</v>
      </c>
      <c r="AO15" s="453">
        <f>SQRT(AP15^2+AQ15^2)*1000/(1.73*AO18)</f>
        <v>18.346985368454913</v>
      </c>
      <c r="AP15" s="454">
        <v>3.0249999999999999</v>
      </c>
      <c r="AQ15" s="455">
        <v>2.1541352799999998</v>
      </c>
      <c r="AR15" s="456"/>
      <c r="AS15" s="456"/>
      <c r="CB15" s="456"/>
      <c r="CC15" s="456"/>
    </row>
    <row r="16" spans="1:84" s="433" customFormat="1" ht="16.5" customHeight="1" thickBot="1" x14ac:dyDescent="0.3">
      <c r="A16" s="1412"/>
      <c r="B16" s="1413"/>
      <c r="C16" s="1359"/>
      <c r="D16" s="1416"/>
      <c r="E16" s="1417"/>
      <c r="F16" s="1396" t="s">
        <v>46</v>
      </c>
      <c r="G16" s="1419"/>
      <c r="H16" s="457">
        <f>SQRT(I16^2+J16^2)*1000/(1.73*H19)</f>
        <v>199.3600037666908</v>
      </c>
      <c r="I16" s="458">
        <v>2.9180000000000006</v>
      </c>
      <c r="J16" s="459">
        <v>2.1446745768387028</v>
      </c>
      <c r="K16" s="457">
        <f>SQRT(L16^2+M16^2)*1000/(1.73*K19)</f>
        <v>198.97285191146429</v>
      </c>
      <c r="L16" s="458">
        <v>2.9128000000000003</v>
      </c>
      <c r="M16" s="459">
        <v>2.1398745768387029</v>
      </c>
      <c r="N16" s="457">
        <f>SQRT(O16^2+P16^2)*1000/(1.73*N19)</f>
        <v>198.82344780452584</v>
      </c>
      <c r="O16" s="458">
        <v>2.9056000000000002</v>
      </c>
      <c r="P16" s="459">
        <v>2.1450745768387027</v>
      </c>
      <c r="Q16" s="457">
        <f>SQRT(R16^2+S16^2)*1000/(1.73*Q19)</f>
        <v>198.92665095928831</v>
      </c>
      <c r="R16" s="458">
        <v>2.9304000000000001</v>
      </c>
      <c r="S16" s="459">
        <v>2.1142745768387026</v>
      </c>
      <c r="T16" s="457">
        <f>SQRT(U16^2+V16^2)*1000/(1.73*T19)</f>
        <v>193.6884705854518</v>
      </c>
      <c r="U16" s="458">
        <v>2.9076</v>
      </c>
      <c r="V16" s="459">
        <v>1.9810745768387028</v>
      </c>
      <c r="W16" s="457">
        <f>SQRT(X16^2+Y16^2)*1000/(1.73*W19)</f>
        <v>199.3160119786217</v>
      </c>
      <c r="X16" s="458">
        <v>2.9936000000000003</v>
      </c>
      <c r="Y16" s="459">
        <v>2.0364</v>
      </c>
      <c r="Z16" s="457">
        <f>SQRT(AA16^2+AB16^2)*1000/(1.73*Z19)</f>
        <v>210.01142702180459</v>
      </c>
      <c r="AA16" s="458">
        <v>3.0995999999999997</v>
      </c>
      <c r="AB16" s="459">
        <v>2.2238745768387029</v>
      </c>
      <c r="AC16" s="457">
        <f>SQRT(AD16^2+AE16^2)*1000/(1.73*AC19)</f>
        <v>208.72957248066777</v>
      </c>
      <c r="AD16" s="458">
        <v>3.0924</v>
      </c>
      <c r="AE16" s="459">
        <v>2.1938745768387022</v>
      </c>
      <c r="AF16" s="457">
        <f>SQRT(AG16^2+AH16^2)*1000/(1.73*AF19)</f>
        <v>206.48164150143919</v>
      </c>
      <c r="AG16" s="458">
        <v>3.0768</v>
      </c>
      <c r="AH16" s="459">
        <v>2.1450745768387027</v>
      </c>
      <c r="AI16" s="457">
        <f>SQRT(AJ16^2+AK16^2)*1000/(1.73*AI19)</f>
        <v>205.25509553057421</v>
      </c>
      <c r="AJ16" s="458">
        <v>3.0495999999999999</v>
      </c>
      <c r="AK16" s="459">
        <v>2.1450745768387027</v>
      </c>
      <c r="AL16" s="457">
        <f>SQRT(AM16^2+AN16^2)*1000/(1.73*AL19)</f>
        <v>199.27778104932781</v>
      </c>
      <c r="AM16" s="458">
        <v>2.948</v>
      </c>
      <c r="AN16" s="459">
        <v>2.1006745768387023</v>
      </c>
      <c r="AO16" s="457">
        <f>SQRT(AP16^2+AQ16^2)*1000/(1.73*AO19)</f>
        <v>201.09225199820938</v>
      </c>
      <c r="AP16" s="458">
        <v>2.9783999999999997</v>
      </c>
      <c r="AQ16" s="459">
        <v>2.1147999999999998</v>
      </c>
      <c r="AR16" s="456"/>
      <c r="AS16" s="456"/>
      <c r="CB16" s="456"/>
      <c r="CC16" s="456"/>
    </row>
    <row r="17" spans="1:43" s="433" customFormat="1" ht="16.5" customHeight="1" thickBot="1" x14ac:dyDescent="0.3">
      <c r="A17" s="1412"/>
      <c r="B17" s="1413"/>
      <c r="C17" s="1359"/>
      <c r="D17" s="1402" t="s">
        <v>2130</v>
      </c>
      <c r="E17" s="1403"/>
      <c r="F17" s="1403"/>
      <c r="G17" s="1404"/>
      <c r="H17" s="1443">
        <v>8</v>
      </c>
      <c r="I17" s="1444"/>
      <c r="J17" s="1445"/>
      <c r="K17" s="1443">
        <v>8</v>
      </c>
      <c r="L17" s="1444"/>
      <c r="M17" s="1445"/>
      <c r="N17" s="1443">
        <v>8</v>
      </c>
      <c r="O17" s="1444"/>
      <c r="P17" s="1445"/>
      <c r="Q17" s="1443">
        <v>8</v>
      </c>
      <c r="R17" s="1444"/>
      <c r="S17" s="1445"/>
      <c r="T17" s="1443">
        <v>8</v>
      </c>
      <c r="U17" s="1444"/>
      <c r="V17" s="1445"/>
      <c r="W17" s="1443">
        <v>8</v>
      </c>
      <c r="X17" s="1444"/>
      <c r="Y17" s="1445"/>
      <c r="Z17" s="1443">
        <v>8</v>
      </c>
      <c r="AA17" s="1444"/>
      <c r="AB17" s="1445"/>
      <c r="AC17" s="1443">
        <v>8</v>
      </c>
      <c r="AD17" s="1444"/>
      <c r="AE17" s="1445"/>
      <c r="AF17" s="1443">
        <v>8</v>
      </c>
      <c r="AG17" s="1444"/>
      <c r="AH17" s="1445"/>
      <c r="AI17" s="1443">
        <v>8</v>
      </c>
      <c r="AJ17" s="1444"/>
      <c r="AK17" s="1445"/>
      <c r="AL17" s="1443">
        <v>8</v>
      </c>
      <c r="AM17" s="1444"/>
      <c r="AN17" s="1445"/>
      <c r="AO17" s="1443">
        <v>8</v>
      </c>
      <c r="AP17" s="1444"/>
      <c r="AQ17" s="1445"/>
    </row>
    <row r="18" spans="1:43" s="433" customFormat="1" ht="16.5" customHeight="1" x14ac:dyDescent="0.25">
      <c r="A18" s="1412"/>
      <c r="B18" s="1413"/>
      <c r="C18" s="1359"/>
      <c r="D18" s="1388" t="s">
        <v>2131</v>
      </c>
      <c r="E18" s="1390"/>
      <c r="F18" s="1394" t="s">
        <v>44</v>
      </c>
      <c r="G18" s="1395"/>
      <c r="H18" s="1385">
        <v>118</v>
      </c>
      <c r="I18" s="1386"/>
      <c r="J18" s="1387"/>
      <c r="K18" s="1385">
        <v>118</v>
      </c>
      <c r="L18" s="1386"/>
      <c r="M18" s="1387"/>
      <c r="N18" s="1385">
        <v>118</v>
      </c>
      <c r="O18" s="1386"/>
      <c r="P18" s="1387"/>
      <c r="Q18" s="1385">
        <v>118</v>
      </c>
      <c r="R18" s="1386"/>
      <c r="S18" s="1387"/>
      <c r="T18" s="1385">
        <v>118</v>
      </c>
      <c r="U18" s="1386"/>
      <c r="V18" s="1387"/>
      <c r="W18" s="1385">
        <v>117</v>
      </c>
      <c r="X18" s="1386"/>
      <c r="Y18" s="1387"/>
      <c r="Z18" s="1385">
        <v>116</v>
      </c>
      <c r="AA18" s="1386"/>
      <c r="AB18" s="1387"/>
      <c r="AC18" s="1385">
        <v>116</v>
      </c>
      <c r="AD18" s="1386"/>
      <c r="AE18" s="1387"/>
      <c r="AF18" s="1385">
        <v>116</v>
      </c>
      <c r="AG18" s="1386"/>
      <c r="AH18" s="1387"/>
      <c r="AI18" s="1385">
        <v>117</v>
      </c>
      <c r="AJ18" s="1386"/>
      <c r="AK18" s="1387"/>
      <c r="AL18" s="1385">
        <v>117</v>
      </c>
      <c r="AM18" s="1386"/>
      <c r="AN18" s="1387"/>
      <c r="AO18" s="1385">
        <v>117</v>
      </c>
      <c r="AP18" s="1386"/>
      <c r="AQ18" s="1387"/>
    </row>
    <row r="19" spans="1:43" s="433" customFormat="1" ht="16.5" customHeight="1" thickBot="1" x14ac:dyDescent="0.3">
      <c r="A19" s="1412"/>
      <c r="B19" s="1413"/>
      <c r="C19" s="1359"/>
      <c r="D19" s="1391"/>
      <c r="E19" s="1393"/>
      <c r="F19" s="1396" t="s">
        <v>46</v>
      </c>
      <c r="G19" s="1397"/>
      <c r="H19" s="1399">
        <v>10.5</v>
      </c>
      <c r="I19" s="1400"/>
      <c r="J19" s="1401"/>
      <c r="K19" s="1399">
        <v>10.5</v>
      </c>
      <c r="L19" s="1400"/>
      <c r="M19" s="1401"/>
      <c r="N19" s="1399">
        <v>10.5</v>
      </c>
      <c r="O19" s="1400"/>
      <c r="P19" s="1401"/>
      <c r="Q19" s="1399">
        <v>10.5</v>
      </c>
      <c r="R19" s="1400"/>
      <c r="S19" s="1401"/>
      <c r="T19" s="1399">
        <v>10.5</v>
      </c>
      <c r="U19" s="1400"/>
      <c r="V19" s="1401"/>
      <c r="W19" s="1399">
        <v>10.5</v>
      </c>
      <c r="X19" s="1400"/>
      <c r="Y19" s="1401"/>
      <c r="Z19" s="1399">
        <v>10.5</v>
      </c>
      <c r="AA19" s="1400"/>
      <c r="AB19" s="1401"/>
      <c r="AC19" s="1399">
        <v>10.5</v>
      </c>
      <c r="AD19" s="1400"/>
      <c r="AE19" s="1401"/>
      <c r="AF19" s="1399">
        <v>10.5</v>
      </c>
      <c r="AG19" s="1400"/>
      <c r="AH19" s="1401"/>
      <c r="AI19" s="1399">
        <v>10.5</v>
      </c>
      <c r="AJ19" s="1400"/>
      <c r="AK19" s="1401"/>
      <c r="AL19" s="1399">
        <v>10.5</v>
      </c>
      <c r="AM19" s="1400"/>
      <c r="AN19" s="1401"/>
      <c r="AO19" s="1399">
        <v>10.5</v>
      </c>
      <c r="AP19" s="1400"/>
      <c r="AQ19" s="1401"/>
    </row>
    <row r="20" spans="1:43" s="433" customFormat="1" ht="16.5" customHeight="1" thickBot="1" x14ac:dyDescent="0.3">
      <c r="A20" s="1412"/>
      <c r="B20" s="1413"/>
      <c r="C20" s="1359"/>
      <c r="D20" s="1402" t="s">
        <v>31</v>
      </c>
      <c r="E20" s="1403"/>
      <c r="F20" s="1403"/>
      <c r="G20" s="1404"/>
      <c r="H20" s="1405" t="s">
        <v>124</v>
      </c>
      <c r="I20" s="1406"/>
      <c r="J20" s="1407"/>
      <c r="K20" s="1405" t="s">
        <v>124</v>
      </c>
      <c r="L20" s="1406"/>
      <c r="M20" s="1407"/>
      <c r="N20" s="1405" t="s">
        <v>124</v>
      </c>
      <c r="O20" s="1406"/>
      <c r="P20" s="1407"/>
      <c r="Q20" s="1405" t="s">
        <v>124</v>
      </c>
      <c r="R20" s="1406"/>
      <c r="S20" s="1407"/>
      <c r="T20" s="1405" t="s">
        <v>124</v>
      </c>
      <c r="U20" s="1406"/>
      <c r="V20" s="1407"/>
      <c r="W20" s="1405" t="s">
        <v>124</v>
      </c>
      <c r="X20" s="1406"/>
      <c r="Y20" s="1407"/>
      <c r="Z20" s="1405" t="s">
        <v>124</v>
      </c>
      <c r="AA20" s="1406"/>
      <c r="AB20" s="1407"/>
      <c r="AC20" s="1405" t="s">
        <v>124</v>
      </c>
      <c r="AD20" s="1406"/>
      <c r="AE20" s="1407"/>
      <c r="AF20" s="1405" t="s">
        <v>124</v>
      </c>
      <c r="AG20" s="1406"/>
      <c r="AH20" s="1407"/>
      <c r="AI20" s="1405" t="s">
        <v>124</v>
      </c>
      <c r="AJ20" s="1406"/>
      <c r="AK20" s="1407"/>
      <c r="AL20" s="1405" t="s">
        <v>124</v>
      </c>
      <c r="AM20" s="1406"/>
      <c r="AN20" s="1407"/>
      <c r="AO20" s="1405" t="s">
        <v>124</v>
      </c>
      <c r="AP20" s="1406"/>
      <c r="AQ20" s="1407"/>
    </row>
    <row r="21" spans="1:43" s="433" customFormat="1" ht="16.5" customHeight="1" x14ac:dyDescent="0.25">
      <c r="A21" s="1388" t="s">
        <v>2133</v>
      </c>
      <c r="B21" s="1389"/>
      <c r="C21" s="1390"/>
      <c r="D21" s="1362"/>
      <c r="E21" s="1364"/>
      <c r="F21" s="1394" t="s">
        <v>44</v>
      </c>
      <c r="G21" s="1395"/>
      <c r="H21" s="453">
        <f t="shared" ref="H21:AQ22" si="0">H9+H15</f>
        <v>35.206018838699144</v>
      </c>
      <c r="I21" s="460">
        <f t="shared" si="0"/>
        <v>5.819</v>
      </c>
      <c r="J21" s="461">
        <f t="shared" si="0"/>
        <v>4.2174356119037082</v>
      </c>
      <c r="K21" s="453">
        <f t="shared" si="0"/>
        <v>38.354869015577989</v>
      </c>
      <c r="L21" s="460">
        <f t="shared" si="0"/>
        <v>6.3179999999999996</v>
      </c>
      <c r="M21" s="461">
        <f t="shared" si="0"/>
        <v>4.6246059852237646</v>
      </c>
      <c r="N21" s="453">
        <f t="shared" si="0"/>
        <v>38.31581091923178</v>
      </c>
      <c r="O21" s="460">
        <f t="shared" si="0"/>
        <v>6.4329999999999998</v>
      </c>
      <c r="P21" s="461">
        <f t="shared" si="0"/>
        <v>4.4422389077753186</v>
      </c>
      <c r="Q21" s="453">
        <f t="shared" si="0"/>
        <v>37.452712370015206</v>
      </c>
      <c r="R21" s="460">
        <f t="shared" si="0"/>
        <v>6.0209999999999999</v>
      </c>
      <c r="S21" s="461">
        <f t="shared" si="0"/>
        <v>4.7047338519037076</v>
      </c>
      <c r="T21" s="453">
        <f t="shared" si="0"/>
        <v>32.803251975720258</v>
      </c>
      <c r="U21" s="460">
        <f t="shared" si="0"/>
        <v>5.657</v>
      </c>
      <c r="V21" s="461">
        <f t="shared" si="0"/>
        <v>3.5734490717432212</v>
      </c>
      <c r="W21" s="453">
        <f t="shared" si="0"/>
        <v>32.643132206267232</v>
      </c>
      <c r="X21" s="460">
        <f t="shared" si="0"/>
        <v>5.5760000000000005</v>
      </c>
      <c r="Y21" s="461">
        <f t="shared" si="0"/>
        <v>3.5853684158716104</v>
      </c>
      <c r="Z21" s="453">
        <f t="shared" si="0"/>
        <v>35.235841714552116</v>
      </c>
      <c r="AA21" s="460">
        <f t="shared" si="0"/>
        <v>5.7140000000000004</v>
      </c>
      <c r="AB21" s="461">
        <f t="shared" si="0"/>
        <v>4.1652832919037079</v>
      </c>
      <c r="AC21" s="453">
        <f t="shared" si="0"/>
        <v>37.928965952377169</v>
      </c>
      <c r="AD21" s="460">
        <f t="shared" si="0"/>
        <v>6.4009999999999998</v>
      </c>
      <c r="AE21" s="461">
        <f t="shared" si="0"/>
        <v>4.1008041877753181</v>
      </c>
      <c r="AF21" s="453">
        <f t="shared" si="0"/>
        <v>36.849203010652346</v>
      </c>
      <c r="AG21" s="460">
        <f t="shared" si="0"/>
        <v>5.9266000000000005</v>
      </c>
      <c r="AH21" s="461">
        <f t="shared" si="0"/>
        <v>4.4171053838074155</v>
      </c>
      <c r="AI21" s="453">
        <f t="shared" si="0"/>
        <v>36.759808398859533</v>
      </c>
      <c r="AJ21" s="460">
        <f t="shared" si="0"/>
        <v>6.0110000000000001</v>
      </c>
      <c r="AK21" s="461">
        <f t="shared" si="0"/>
        <v>4.3314152277753184</v>
      </c>
      <c r="AL21" s="453">
        <f t="shared" si="0"/>
        <v>32.678906321923492</v>
      </c>
      <c r="AM21" s="460">
        <f t="shared" si="0"/>
        <v>5.3629999999999995</v>
      </c>
      <c r="AN21" s="461">
        <f t="shared" si="0"/>
        <v>3.8286100958716101</v>
      </c>
      <c r="AO21" s="453">
        <f t="shared" si="0"/>
        <v>35.762162531782863</v>
      </c>
      <c r="AP21" s="460">
        <f t="shared" si="0"/>
        <v>5.8979999999999997</v>
      </c>
      <c r="AQ21" s="461">
        <f t="shared" si="0"/>
        <v>4.1441205838074158</v>
      </c>
    </row>
    <row r="22" spans="1:43" s="433" customFormat="1" ht="16.5" customHeight="1" thickBot="1" x14ac:dyDescent="0.3">
      <c r="A22" s="1391"/>
      <c r="B22" s="1392"/>
      <c r="C22" s="1393"/>
      <c r="D22" s="1365"/>
      <c r="E22" s="1367"/>
      <c r="F22" s="1396" t="s">
        <v>46</v>
      </c>
      <c r="G22" s="1397"/>
      <c r="H22" s="457">
        <f t="shared" si="0"/>
        <v>390.26776504695954</v>
      </c>
      <c r="I22" s="462">
        <f t="shared" si="0"/>
        <v>5.7540000000000004</v>
      </c>
      <c r="J22" s="463">
        <f t="shared" si="0"/>
        <v>4.1404237305161082</v>
      </c>
      <c r="K22" s="457">
        <f t="shared" si="0"/>
        <v>425.93609897985186</v>
      </c>
      <c r="L22" s="462">
        <f t="shared" si="0"/>
        <v>6.2531999999999996</v>
      </c>
      <c r="M22" s="463">
        <f t="shared" si="0"/>
        <v>4.5562983073548118</v>
      </c>
      <c r="N22" s="457">
        <f t="shared" si="0"/>
        <v>426.1690757445034</v>
      </c>
      <c r="O22" s="462">
        <f t="shared" si="0"/>
        <v>6.3903999999999996</v>
      </c>
      <c r="P22" s="463">
        <f t="shared" si="0"/>
        <v>4.3611220378709197</v>
      </c>
      <c r="Q22" s="457">
        <f t="shared" si="0"/>
        <v>415.01584856890963</v>
      </c>
      <c r="R22" s="462">
        <f t="shared" si="0"/>
        <v>5.9527999999999999</v>
      </c>
      <c r="S22" s="463">
        <f t="shared" si="0"/>
        <v>4.618823730516108</v>
      </c>
      <c r="T22" s="457">
        <f t="shared" si="0"/>
        <v>365.72025634254749</v>
      </c>
      <c r="U22" s="462">
        <f t="shared" si="0"/>
        <v>5.6340000000000003</v>
      </c>
      <c r="V22" s="463">
        <f t="shared" si="0"/>
        <v>3.5081966147096226</v>
      </c>
      <c r="W22" s="457">
        <f t="shared" si="0"/>
        <v>360.71567075706719</v>
      </c>
      <c r="X22" s="462">
        <f t="shared" si="0"/>
        <v>5.5224000000000002</v>
      </c>
      <c r="Y22" s="463">
        <f t="shared" si="0"/>
        <v>3.5198983073548114</v>
      </c>
      <c r="Z22" s="457">
        <f t="shared" si="0"/>
        <v>383.95899246734712</v>
      </c>
      <c r="AA22" s="462">
        <f t="shared" si="0"/>
        <v>5.65</v>
      </c>
      <c r="AB22" s="463">
        <f t="shared" si="0"/>
        <v>4.0892237305161085</v>
      </c>
      <c r="AC22" s="457">
        <f t="shared" si="0"/>
        <v>414.86231797495657</v>
      </c>
      <c r="AD22" s="462">
        <f t="shared" si="0"/>
        <v>6.3580000000000005</v>
      </c>
      <c r="AE22" s="463">
        <f t="shared" si="0"/>
        <v>4.0259220378709193</v>
      </c>
      <c r="AF22" s="457">
        <f t="shared" si="0"/>
        <v>401.76878998750192</v>
      </c>
      <c r="AG22" s="462">
        <f t="shared" si="0"/>
        <v>5.8664000000000005</v>
      </c>
      <c r="AH22" s="463">
        <f t="shared" si="0"/>
        <v>4.3364474610322166</v>
      </c>
      <c r="AI22" s="457">
        <f t="shared" si="0"/>
        <v>403.74117205629187</v>
      </c>
      <c r="AJ22" s="462">
        <f t="shared" si="0"/>
        <v>5.9751999999999992</v>
      </c>
      <c r="AK22" s="463">
        <f t="shared" si="0"/>
        <v>4.2523220378709201</v>
      </c>
      <c r="AL22" s="457">
        <f t="shared" si="0"/>
        <v>358.27225644554125</v>
      </c>
      <c r="AM22" s="462">
        <f t="shared" si="0"/>
        <v>5.3128000000000002</v>
      </c>
      <c r="AN22" s="463">
        <f t="shared" si="0"/>
        <v>3.7586983073548108</v>
      </c>
      <c r="AO22" s="457">
        <f t="shared" si="0"/>
        <v>392.52954126281412</v>
      </c>
      <c r="AP22" s="462">
        <f t="shared" si="0"/>
        <v>5.8552</v>
      </c>
      <c r="AQ22" s="463">
        <f t="shared" si="0"/>
        <v>4.0684474610322168</v>
      </c>
    </row>
    <row r="23" spans="1:43" s="433" customFormat="1" ht="16.5" customHeight="1" x14ac:dyDescent="0.25">
      <c r="A23" s="464" t="s">
        <v>2134</v>
      </c>
      <c r="B23" s="465">
        <f>(I21+L21+O21+R21)/SQRT((I21+L21+O21+R21)^2+(J21+M21+P21+S21)^2)</f>
        <v>0.80709914543593431</v>
      </c>
      <c r="C23" s="466"/>
      <c r="D23" s="442" t="s">
        <v>2135</v>
      </c>
      <c r="E23" s="1398">
        <f>(J21+M21+P21+S21)/(I21+L21+O21+R21)</f>
        <v>0.73152837854526043</v>
      </c>
      <c r="F23" s="1398"/>
      <c r="G23" s="467"/>
      <c r="H23" s="438"/>
      <c r="I23" s="438"/>
      <c r="J23" s="438"/>
      <c r="K23" s="438"/>
      <c r="L23" s="438"/>
      <c r="M23" s="438"/>
      <c r="N23" s="438"/>
      <c r="O23" s="438"/>
      <c r="P23" s="438"/>
      <c r="Q23" s="438"/>
      <c r="R23" s="438"/>
      <c r="S23" s="438"/>
      <c r="T23" s="438"/>
      <c r="U23" s="438"/>
      <c r="V23" s="438"/>
      <c r="W23" s="438"/>
      <c r="X23" s="438"/>
      <c r="Y23" s="438"/>
      <c r="Z23" s="438"/>
      <c r="AA23" s="438"/>
      <c r="AB23" s="438"/>
      <c r="AC23" s="438"/>
      <c r="AD23" s="438"/>
      <c r="AE23" s="438"/>
      <c r="AF23" s="438"/>
      <c r="AG23" s="438"/>
      <c r="AH23" s="438"/>
      <c r="AI23" s="438"/>
      <c r="AJ23" s="438"/>
      <c r="AK23" s="438"/>
      <c r="AL23" s="438"/>
      <c r="AM23" s="438"/>
      <c r="AN23" s="438"/>
      <c r="AO23" s="438"/>
      <c r="AP23" s="438"/>
      <c r="AQ23" s="467"/>
    </row>
    <row r="24" spans="1:43" s="433" customFormat="1" ht="16.5" customHeight="1" thickBot="1" x14ac:dyDescent="0.3">
      <c r="A24" s="468" t="s">
        <v>2136</v>
      </c>
      <c r="B24" s="469">
        <f>(I22+L22+O22+R22)/SQRT((I22+L22+O22+R22)^2+(J22+M22+P22+S22)^2)</f>
        <v>0.80925292930918558</v>
      </c>
      <c r="C24" s="470"/>
      <c r="D24" s="471" t="s">
        <v>2137</v>
      </c>
      <c r="E24" s="1384">
        <f>(J22+M22+P22+S22)/(I22+L22+O22+R22)</f>
        <v>0.72592925809259601</v>
      </c>
      <c r="F24" s="1384"/>
      <c r="G24" s="472"/>
      <c r="H24" s="473"/>
      <c r="I24" s="473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73"/>
      <c r="W24" s="473"/>
      <c r="X24" s="473"/>
      <c r="Y24" s="473"/>
      <c r="Z24" s="473"/>
      <c r="AA24" s="473"/>
      <c r="AB24" s="473"/>
      <c r="AC24" s="473"/>
      <c r="AD24" s="473"/>
      <c r="AE24" s="473"/>
      <c r="AF24" s="473"/>
      <c r="AG24" s="473"/>
      <c r="AH24" s="473"/>
      <c r="AI24" s="473"/>
      <c r="AJ24" s="473"/>
      <c r="AK24" s="473"/>
      <c r="AL24" s="473"/>
      <c r="AM24" s="473"/>
      <c r="AN24" s="473"/>
      <c r="AO24" s="473"/>
      <c r="AP24" s="473"/>
      <c r="AQ24" s="472"/>
    </row>
    <row r="25" spans="1:43" s="433" customFormat="1" ht="16.5" customHeight="1" thickBot="1" x14ac:dyDescent="0.3">
      <c r="A25" s="474"/>
      <c r="B25" s="475"/>
      <c r="C25" s="475"/>
      <c r="D25" s="476"/>
      <c r="E25" s="477"/>
      <c r="F25" s="476"/>
      <c r="G25" s="477"/>
      <c r="H25" s="478"/>
      <c r="I25" s="476"/>
      <c r="J25" s="476"/>
      <c r="K25" s="478"/>
      <c r="L25" s="476"/>
      <c r="M25" s="476"/>
      <c r="N25" s="478"/>
      <c r="O25" s="476"/>
      <c r="P25" s="476"/>
      <c r="Q25" s="478"/>
      <c r="R25" s="476"/>
      <c r="S25" s="476"/>
      <c r="T25" s="478"/>
      <c r="U25" s="476"/>
      <c r="V25" s="476"/>
      <c r="W25" s="478"/>
      <c r="X25" s="476"/>
      <c r="Y25" s="476"/>
      <c r="Z25" s="478"/>
      <c r="AA25" s="476"/>
      <c r="AB25" s="476"/>
      <c r="AC25" s="478"/>
      <c r="AD25" s="476"/>
      <c r="AE25" s="476"/>
      <c r="AF25" s="478"/>
      <c r="AG25" s="476"/>
      <c r="AH25" s="476"/>
      <c r="AI25" s="478"/>
      <c r="AJ25" s="476"/>
      <c r="AK25" s="476"/>
      <c r="AL25" s="478"/>
      <c r="AM25" s="476"/>
      <c r="AN25" s="476"/>
      <c r="AO25" s="478"/>
      <c r="AP25" s="476"/>
      <c r="AQ25" s="476"/>
    </row>
    <row r="26" spans="1:43" s="433" customFormat="1" ht="16.5" customHeight="1" x14ac:dyDescent="0.25">
      <c r="A26" s="1346" t="s">
        <v>2138</v>
      </c>
      <c r="B26" s="1347"/>
      <c r="C26" s="1347"/>
      <c r="D26" s="1385" t="s">
        <v>22</v>
      </c>
      <c r="E26" s="1386"/>
      <c r="F26" s="1386" t="s">
        <v>23</v>
      </c>
      <c r="G26" s="1387"/>
      <c r="H26" s="1368" t="s">
        <v>3</v>
      </c>
      <c r="I26" s="1369"/>
      <c r="J26" s="1370"/>
      <c r="K26" s="1368" t="s">
        <v>4</v>
      </c>
      <c r="L26" s="1369"/>
      <c r="M26" s="1370"/>
      <c r="N26" s="1368" t="s">
        <v>102</v>
      </c>
      <c r="O26" s="1369"/>
      <c r="P26" s="1370"/>
      <c r="Q26" s="1368" t="s">
        <v>103</v>
      </c>
      <c r="R26" s="1369"/>
      <c r="S26" s="1370"/>
      <c r="T26" s="1368" t="s">
        <v>104</v>
      </c>
      <c r="U26" s="1369"/>
      <c r="V26" s="1370"/>
      <c r="W26" s="1368" t="s">
        <v>105</v>
      </c>
      <c r="X26" s="1369"/>
      <c r="Y26" s="1370"/>
      <c r="Z26" s="1368" t="s">
        <v>106</v>
      </c>
      <c r="AA26" s="1369"/>
      <c r="AB26" s="1370"/>
      <c r="AC26" s="1368" t="s">
        <v>108</v>
      </c>
      <c r="AD26" s="1369"/>
      <c r="AE26" s="1370"/>
      <c r="AF26" s="1368" t="s">
        <v>107</v>
      </c>
      <c r="AG26" s="1369"/>
      <c r="AH26" s="1370"/>
      <c r="AI26" s="1368" t="s">
        <v>109</v>
      </c>
      <c r="AJ26" s="1369"/>
      <c r="AK26" s="1370"/>
      <c r="AL26" s="1368" t="s">
        <v>110</v>
      </c>
      <c r="AM26" s="1369"/>
      <c r="AN26" s="1370"/>
      <c r="AO26" s="1368" t="s">
        <v>111</v>
      </c>
      <c r="AP26" s="1369"/>
      <c r="AQ26" s="1370"/>
    </row>
    <row r="27" spans="1:43" s="433" customFormat="1" ht="16.5" customHeight="1" thickBot="1" x14ac:dyDescent="0.3">
      <c r="A27" s="1374" t="s">
        <v>2139</v>
      </c>
      <c r="B27" s="1375"/>
      <c r="C27" s="1375"/>
      <c r="D27" s="479" t="s">
        <v>24</v>
      </c>
      <c r="E27" s="480" t="s">
        <v>25</v>
      </c>
      <c r="F27" s="481" t="s">
        <v>24</v>
      </c>
      <c r="G27" s="482" t="s">
        <v>25</v>
      </c>
      <c r="H27" s="1440"/>
      <c r="I27" s="1441"/>
      <c r="J27" s="1442"/>
      <c r="K27" s="1371"/>
      <c r="L27" s="1372"/>
      <c r="M27" s="1373"/>
      <c r="N27" s="1371"/>
      <c r="O27" s="1372"/>
      <c r="P27" s="1373"/>
      <c r="Q27" s="1371"/>
      <c r="R27" s="1372"/>
      <c r="S27" s="1373"/>
      <c r="T27" s="1371"/>
      <c r="U27" s="1372"/>
      <c r="V27" s="1373"/>
      <c r="W27" s="1371"/>
      <c r="X27" s="1372"/>
      <c r="Y27" s="1373"/>
      <c r="Z27" s="1371"/>
      <c r="AA27" s="1372"/>
      <c r="AB27" s="1373"/>
      <c r="AC27" s="1371"/>
      <c r="AD27" s="1372"/>
      <c r="AE27" s="1373"/>
      <c r="AF27" s="1371"/>
      <c r="AG27" s="1372"/>
      <c r="AH27" s="1373"/>
      <c r="AI27" s="1371"/>
      <c r="AJ27" s="1372"/>
      <c r="AK27" s="1373"/>
      <c r="AL27" s="1371"/>
      <c r="AM27" s="1372"/>
      <c r="AN27" s="1373"/>
      <c r="AO27" s="1371"/>
      <c r="AP27" s="1372"/>
      <c r="AQ27" s="1373"/>
    </row>
    <row r="28" spans="1:43" s="433" customFormat="1" ht="16.5" customHeight="1" x14ac:dyDescent="0.25">
      <c r="A28" s="483" t="s">
        <v>2140</v>
      </c>
      <c r="B28" s="484" t="s">
        <v>2141</v>
      </c>
      <c r="C28" s="485"/>
      <c r="D28" s="486"/>
      <c r="E28" s="487"/>
      <c r="F28" s="488"/>
      <c r="G28" s="489"/>
      <c r="H28" s="490">
        <f>SQRT(I28^2+J28^2)*1000/(1.73*H13)</f>
        <v>66.881772853233983</v>
      </c>
      <c r="I28" s="491">
        <v>1.1399999999999999</v>
      </c>
      <c r="J28" s="492">
        <v>0.42</v>
      </c>
      <c r="K28" s="490">
        <f>SQRT(L28^2+M28^2)*1000/(1.73*K13)</f>
        <v>100.94754099032342</v>
      </c>
      <c r="L28" s="491">
        <v>1.63</v>
      </c>
      <c r="M28" s="492">
        <v>0.84</v>
      </c>
      <c r="N28" s="490">
        <f>SQRT(O28^2+P28^2)*1000/(1.73*N13)</f>
        <v>86.449230905383331</v>
      </c>
      <c r="O28" s="491">
        <v>1.56</v>
      </c>
      <c r="P28" s="492">
        <v>0.18</v>
      </c>
      <c r="Q28" s="490">
        <f>SQRT(R28^2+S28^2)*1000/(1.73*Q13)</f>
        <v>75.393639706116119</v>
      </c>
      <c r="R28" s="491">
        <v>1.2</v>
      </c>
      <c r="S28" s="492">
        <v>0.66</v>
      </c>
      <c r="T28" s="490">
        <f>SQRT(U28^2+V28^2)*1000/(1.73*T13)</f>
        <v>74.520324840155112</v>
      </c>
      <c r="U28" s="491">
        <v>1.32</v>
      </c>
      <c r="V28" s="492">
        <v>0.3</v>
      </c>
      <c r="W28" s="490">
        <f>SQRT(X28^2+Y28^2)*1000/(1.73*W13)</f>
        <v>64.894740559499596</v>
      </c>
      <c r="X28" s="491">
        <v>1.1399999999999999</v>
      </c>
      <c r="Y28" s="492">
        <v>0.3</v>
      </c>
      <c r="Z28" s="490">
        <f>SQRT(AA28^2+AB28^2)*1000/(1.73*Z13)</f>
        <v>50.310639840554309</v>
      </c>
      <c r="AA28" s="491">
        <v>0.84</v>
      </c>
      <c r="AB28" s="492">
        <v>0.36</v>
      </c>
      <c r="AC28" s="490">
        <f>SQRT(AD28^2+AE28^2)*1000/(1.73*AC13)</f>
        <v>87.453029198174903</v>
      </c>
      <c r="AD28" s="491">
        <v>1.56</v>
      </c>
      <c r="AE28" s="492">
        <v>0.3</v>
      </c>
      <c r="AF28" s="490">
        <f>SQRT(AG28^2+AH28^2)*1000/(1.73*AF13)</f>
        <v>58.530289501798016</v>
      </c>
      <c r="AG28" s="491">
        <v>1.02</v>
      </c>
      <c r="AH28" s="492">
        <v>0.3</v>
      </c>
      <c r="AI28" s="490">
        <f>SQRT(AJ28^2+AK28^2)*1000/(1.73*AI13)</f>
        <v>64.894740559499596</v>
      </c>
      <c r="AJ28" s="491">
        <v>1.1399999999999999</v>
      </c>
      <c r="AK28" s="492">
        <v>0.3</v>
      </c>
      <c r="AL28" s="490">
        <f>SQRT(AM28^2+AN28^2)*1000/(1.73*AL13)</f>
        <v>48.093211489879558</v>
      </c>
      <c r="AM28" s="491">
        <v>0.84</v>
      </c>
      <c r="AN28" s="492">
        <v>0.24</v>
      </c>
      <c r="AO28" s="490">
        <f>SQRT(AP28^2+AQ28^2)*1000/(1.73*AO13)</f>
        <v>68.09422998542793</v>
      </c>
      <c r="AP28" s="491">
        <v>1.2</v>
      </c>
      <c r="AQ28" s="492">
        <v>0.3</v>
      </c>
    </row>
    <row r="29" spans="1:43" s="433" customFormat="1" ht="16.5" customHeight="1" x14ac:dyDescent="0.25">
      <c r="A29" s="493" t="s">
        <v>2142</v>
      </c>
      <c r="B29" s="494" t="s">
        <v>2143</v>
      </c>
      <c r="C29" s="495"/>
      <c r="D29" s="496"/>
      <c r="E29" s="497"/>
      <c r="F29" s="498"/>
      <c r="G29" s="499"/>
      <c r="H29" s="500">
        <f>SQRT(I29^2+J29^2)*1000/(1.73*H15)</f>
        <v>0</v>
      </c>
      <c r="I29" s="501">
        <v>0</v>
      </c>
      <c r="J29" s="502">
        <v>0</v>
      </c>
      <c r="K29" s="500">
        <f>SQRT(L29^2+M29^2)*1000/(1.73*K15)</f>
        <v>0</v>
      </c>
      <c r="L29" s="501">
        <v>0</v>
      </c>
      <c r="M29" s="502">
        <v>0</v>
      </c>
      <c r="N29" s="500">
        <f>SQRT(O29^2+P29^2)*1000/(1.73*N15)</f>
        <v>0</v>
      </c>
      <c r="O29" s="501">
        <v>0</v>
      </c>
      <c r="P29" s="502">
        <v>0</v>
      </c>
      <c r="Q29" s="500">
        <f>SQRT(R29^2+S29^2)*1000/(1.73*Q15)</f>
        <v>0</v>
      </c>
      <c r="R29" s="501">
        <v>0</v>
      </c>
      <c r="S29" s="502">
        <v>0</v>
      </c>
      <c r="T29" s="500">
        <f>SQRT(U29^2+V29^2)*1000/(1.73*T15)</f>
        <v>0</v>
      </c>
      <c r="U29" s="501">
        <v>0</v>
      </c>
      <c r="V29" s="502">
        <v>0</v>
      </c>
      <c r="W29" s="500">
        <f>SQRT(X29^2+Y29^2)*1000/(1.73*W15)</f>
        <v>0</v>
      </c>
      <c r="X29" s="501">
        <v>0</v>
      </c>
      <c r="Y29" s="502">
        <v>0</v>
      </c>
      <c r="Z29" s="500">
        <f>SQRT(AA29^2+AB29^2)*1000/(1.73*Z15)</f>
        <v>0</v>
      </c>
      <c r="AA29" s="501">
        <v>0</v>
      </c>
      <c r="AB29" s="502">
        <v>0</v>
      </c>
      <c r="AC29" s="500">
        <f>SQRT(AD29^2+AE29^2)*1000/(1.73*AC15)</f>
        <v>0</v>
      </c>
      <c r="AD29" s="501">
        <v>0</v>
      </c>
      <c r="AE29" s="502">
        <v>0</v>
      </c>
      <c r="AF29" s="500">
        <f>SQRT(AG29^2+AH29^2)*1000/(1.73*AF15)</f>
        <v>0</v>
      </c>
      <c r="AG29" s="501">
        <v>0</v>
      </c>
      <c r="AH29" s="502">
        <v>0</v>
      </c>
      <c r="AI29" s="500">
        <f>SQRT(AJ29^2+AK29^2)*1000/(1.73*AI15)</f>
        <v>0</v>
      </c>
      <c r="AJ29" s="501">
        <v>0</v>
      </c>
      <c r="AK29" s="502">
        <v>0</v>
      </c>
      <c r="AL29" s="500">
        <f>SQRT(AM29^2+AN29^2)*1000/(1.73*AL15)</f>
        <v>0</v>
      </c>
      <c r="AM29" s="501">
        <v>0</v>
      </c>
      <c r="AN29" s="502">
        <v>0</v>
      </c>
      <c r="AO29" s="500">
        <f>SQRT(AP29^2+AQ29^2)*1000/(1.73*AO15)</f>
        <v>0</v>
      </c>
      <c r="AP29" s="501">
        <v>0</v>
      </c>
      <c r="AQ29" s="502">
        <v>0</v>
      </c>
    </row>
    <row r="30" spans="1:43" s="433" customFormat="1" ht="16.5" customHeight="1" x14ac:dyDescent="0.25">
      <c r="A30" s="493" t="s">
        <v>2144</v>
      </c>
      <c r="B30" s="494" t="s">
        <v>2145</v>
      </c>
      <c r="C30" s="495"/>
      <c r="D30" s="496"/>
      <c r="E30" s="497"/>
      <c r="F30" s="498"/>
      <c r="G30" s="499"/>
      <c r="H30" s="503">
        <f>SQRT(I30^2+J30^2)*1000/(1.73*H13)</f>
        <v>126.50965412675571</v>
      </c>
      <c r="I30" s="504">
        <v>1.68</v>
      </c>
      <c r="J30" s="505">
        <v>1.5680000000000001</v>
      </c>
      <c r="K30" s="503">
        <f>SQRT(L30^2+M30^2)*1000/(1.73*K13)</f>
        <v>126.64756273072243</v>
      </c>
      <c r="L30" s="504">
        <v>1.6864000000000001</v>
      </c>
      <c r="M30" s="505">
        <v>1.5648000000000002</v>
      </c>
      <c r="N30" s="503">
        <f>SQRT(O30^2+P30^2)*1000/(1.73*N13)</f>
        <v>151.50251888103566</v>
      </c>
      <c r="O30" s="504">
        <v>1.8768</v>
      </c>
      <c r="P30" s="505">
        <v>2.0127999999999999</v>
      </c>
      <c r="Q30" s="503">
        <f>SQRT(R30^2+S30^2)*1000/(1.73*Q13)</f>
        <v>141.82334756526848</v>
      </c>
      <c r="R30" s="504">
        <v>1.8064</v>
      </c>
      <c r="S30" s="505">
        <v>1.8368</v>
      </c>
      <c r="T30" s="503">
        <f>SQRT(U30^2+V30^2)*1000/(1.73*T13)</f>
        <v>99.451592077741779</v>
      </c>
      <c r="U30" s="504">
        <v>1.3504</v>
      </c>
      <c r="V30" s="505">
        <v>1.2</v>
      </c>
      <c r="W30" s="503">
        <f>SQRT(X30^2+Y30^2)*1000/(1.73*W13)</f>
        <v>98.556991654679663</v>
      </c>
      <c r="X30" s="504">
        <v>1.3568</v>
      </c>
      <c r="Y30" s="505">
        <v>1.1679999999999999</v>
      </c>
      <c r="Z30" s="503">
        <f>SQRT(AA30^2+AB30^2)*1000/(1.73*Z13)</f>
        <v>124.49053832222786</v>
      </c>
      <c r="AA30" s="504">
        <v>1.6944000000000001</v>
      </c>
      <c r="AB30" s="505">
        <v>1.4975999999999998</v>
      </c>
      <c r="AC30" s="503">
        <f>SQRT(AD30^2+AE30^2)*1000/(1.73*AC13)</f>
        <v>123.39409930823902</v>
      </c>
      <c r="AD30" s="504">
        <v>1.6576</v>
      </c>
      <c r="AE30" s="505">
        <v>1.5087999999999999</v>
      </c>
      <c r="AF30" s="503">
        <f>SQRT(AG30^2+AH30^2)*1000/(1.73*AF13)</f>
        <v>140.30859263386617</v>
      </c>
      <c r="AG30" s="504">
        <v>1.7295999999999998</v>
      </c>
      <c r="AH30" s="505">
        <v>1.8720000000000001</v>
      </c>
      <c r="AI30" s="503">
        <f>SQRT(AJ30^2+AK30^2)*1000/(1.73*AI13)</f>
        <v>137.09680039127747</v>
      </c>
      <c r="AJ30" s="504">
        <v>1.7375999999999998</v>
      </c>
      <c r="AK30" s="505">
        <v>1.784</v>
      </c>
      <c r="AL30" s="503">
        <f>SQRT(AM30^2+AN30^2)*1000/(1.73*AL13)</f>
        <v>113.22787152270344</v>
      </c>
      <c r="AM30" s="504">
        <v>1.5008000000000001</v>
      </c>
      <c r="AN30" s="505">
        <v>1.4064000000000001</v>
      </c>
      <c r="AO30" s="503">
        <f>SQRT(AP30^2+AQ30^2)*1000/(1.73*AO13)</f>
        <v>126.87050365804271</v>
      </c>
      <c r="AP30" s="504">
        <v>1.6288000000000002</v>
      </c>
      <c r="AQ30" s="505">
        <v>1.6304000000000001</v>
      </c>
    </row>
    <row r="31" spans="1:43" s="433" customFormat="1" ht="16.5" customHeight="1" x14ac:dyDescent="0.25">
      <c r="A31" s="493" t="s">
        <v>2146</v>
      </c>
      <c r="B31" s="494" t="s">
        <v>2147</v>
      </c>
      <c r="C31" s="495"/>
      <c r="D31" s="496"/>
      <c r="E31" s="497"/>
      <c r="F31" s="498"/>
      <c r="G31" s="499"/>
      <c r="H31" s="503">
        <f>SQRT(I31^2+J31^2)*1000/(1.73*H19)</f>
        <v>11.359821470494742</v>
      </c>
      <c r="I31" s="504">
        <v>0.20039999999999997</v>
      </c>
      <c r="J31" s="505">
        <v>4.9200000000000001E-2</v>
      </c>
      <c r="K31" s="503">
        <f>SQRT(L31^2+M31^2)*1000/(1.73*K19)</f>
        <v>11.745137130895724</v>
      </c>
      <c r="L31" s="504">
        <v>0.20760000000000003</v>
      </c>
      <c r="M31" s="505">
        <v>4.9200000000000001E-2</v>
      </c>
      <c r="N31" s="503">
        <f>SQRT(O31^2+P31^2)*1000/(1.73*N19)</f>
        <v>11.552385831696123</v>
      </c>
      <c r="O31" s="504">
        <v>0.20399999999999999</v>
      </c>
      <c r="P31" s="505">
        <v>4.9200000000000001E-2</v>
      </c>
      <c r="Q31" s="503">
        <f>SQRT(R31^2+S31^2)*1000/(1.73*Q19)</f>
        <v>12.354133435596077</v>
      </c>
      <c r="R31" s="504">
        <v>0.21840000000000001</v>
      </c>
      <c r="S31" s="505">
        <v>5.1599999999999993E-2</v>
      </c>
      <c r="T31" s="503">
        <f>SQRT(U31^2+V31^2)*1000/(1.73*T19)</f>
        <v>12.467885390151434</v>
      </c>
      <c r="U31" s="504">
        <v>0.22080000000000002</v>
      </c>
      <c r="V31" s="505">
        <v>5.04E-2</v>
      </c>
      <c r="W31" s="503">
        <f>SQRT(X31^2+Y31^2)*1000/(1.73*W19)</f>
        <v>12.827767369833255</v>
      </c>
      <c r="X31" s="504">
        <v>0.222</v>
      </c>
      <c r="Y31" s="505">
        <v>7.0800000000000002E-2</v>
      </c>
      <c r="Z31" s="503">
        <f>SQRT(AA31^2+AB31^2)*1000/(1.73*Z19)</f>
        <v>11.51075684086187</v>
      </c>
      <c r="AA31" s="504">
        <v>0.19800000000000001</v>
      </c>
      <c r="AB31" s="505">
        <v>6.720000000000001E-2</v>
      </c>
      <c r="AC31" s="503">
        <f>SQRT(AD31^2+AE31^2)*1000/(1.73*AC19)</f>
        <v>10.967934349835904</v>
      </c>
      <c r="AD31" s="504">
        <v>0.18960000000000002</v>
      </c>
      <c r="AE31" s="505">
        <v>6.1200000000000004E-2</v>
      </c>
      <c r="AF31" s="503">
        <f>SQRT(AG31^2+AH31^2)*1000/(1.73*AF19)</f>
        <v>10.821930374090952</v>
      </c>
      <c r="AG31" s="504">
        <v>0.18719999999999998</v>
      </c>
      <c r="AH31" s="505">
        <v>0.06</v>
      </c>
      <c r="AI31" s="503">
        <f>SQRT(AJ31^2+AK31^2)*1000/(1.73*AI19)</f>
        <v>11.156701963225251</v>
      </c>
      <c r="AJ31" s="504">
        <v>0.19319999999999998</v>
      </c>
      <c r="AK31" s="505">
        <v>6.1200000000000004E-2</v>
      </c>
      <c r="AL31" s="503">
        <f>SQRT(AM31^2+AN31^2)*1000/(1.73*AL19)</f>
        <v>11.428571428571429</v>
      </c>
      <c r="AM31" s="504">
        <v>0.19800000000000001</v>
      </c>
      <c r="AN31" s="505">
        <v>6.2399999999999997E-2</v>
      </c>
      <c r="AO31" s="503">
        <f>SQRT(AP31^2+AQ31^2)*1000/(1.73*AO19)</f>
        <v>11.219696664351313</v>
      </c>
      <c r="AP31" s="504">
        <v>0.19440000000000002</v>
      </c>
      <c r="AQ31" s="505">
        <v>6.1200000000000004E-2</v>
      </c>
    </row>
    <row r="32" spans="1:43" s="433" customFormat="1" ht="17.25" customHeight="1" x14ac:dyDescent="0.25">
      <c r="A32" s="493" t="s">
        <v>2148</v>
      </c>
      <c r="B32" s="494" t="s">
        <v>2149</v>
      </c>
      <c r="C32" s="495"/>
      <c r="D32" s="496"/>
      <c r="E32" s="497"/>
      <c r="F32" s="498"/>
      <c r="G32" s="499"/>
      <c r="H32" s="503">
        <f>SQRT(I32^2+J32^$C9)*1000/(1.73*H19)</f>
        <v>37.919075144508668</v>
      </c>
      <c r="I32" s="504">
        <v>0.68879999999999997</v>
      </c>
      <c r="J32" s="505">
        <v>0.22119999999999998</v>
      </c>
      <c r="K32" s="503">
        <f>SQRT(L32^2+M32^$C9)*1000/(1.73*K19)</f>
        <v>39.350399119185255</v>
      </c>
      <c r="L32" s="504">
        <v>0.71479999999999999</v>
      </c>
      <c r="M32" s="505">
        <v>0.22760000000000002</v>
      </c>
      <c r="N32" s="503">
        <f>SQRT(O32^2+P32^$C9)*1000/(1.73*N19)</f>
        <v>38.976052848885224</v>
      </c>
      <c r="O32" s="504">
        <v>0.70799999999999996</v>
      </c>
      <c r="P32" s="505">
        <v>0.22640000000000002</v>
      </c>
      <c r="Q32" s="503">
        <f>SQRT(R32^2+S32^$C9)*1000/(1.73*Q19)</f>
        <v>41.926782273603095</v>
      </c>
      <c r="R32" s="504">
        <v>0.76160000000000005</v>
      </c>
      <c r="S32" s="505">
        <v>0.2316</v>
      </c>
      <c r="T32" s="503">
        <f>SQRT(U32^2+V32^$C9)*1000/(1.73*T19)</f>
        <v>45.560143132397485</v>
      </c>
      <c r="U32" s="504">
        <v>0.8276</v>
      </c>
      <c r="V32" s="505">
        <v>0.24039999999999997</v>
      </c>
      <c r="W32" s="503">
        <f>SQRT(X32^2+Y32^$C9)*1000/(1.73*W19)</f>
        <v>50.140379851362788</v>
      </c>
      <c r="X32" s="504">
        <v>0.91079999999999994</v>
      </c>
      <c r="Y32" s="505">
        <v>0.27439999999999998</v>
      </c>
      <c r="Z32" s="503">
        <f>SQRT(AA32^2+AB32^$C9)*1000/(1.73*Z19)</f>
        <v>48.665015139007025</v>
      </c>
      <c r="AA32" s="504">
        <v>0.88400000000000001</v>
      </c>
      <c r="AB32" s="505">
        <v>0.30320000000000003</v>
      </c>
      <c r="AC32" s="503">
        <f>SQRT(AD32^2+AE32^$C9)*1000/(1.73*AC19)</f>
        <v>50.404624277458126</v>
      </c>
      <c r="AD32" s="504">
        <v>0.91559999999999986</v>
      </c>
      <c r="AE32" s="505">
        <v>0.29360000000000003</v>
      </c>
      <c r="AF32" s="503">
        <f>SQRT(AG32^2+AH32^$C9)*1000/(1.73*AF19)</f>
        <v>50.030278007157058</v>
      </c>
      <c r="AG32" s="504">
        <v>0.90879999999999994</v>
      </c>
      <c r="AH32" s="505">
        <v>0.27960000000000002</v>
      </c>
      <c r="AI32" s="503">
        <f>SQRT(AJ32^2+AK32^$C9)*1000/(1.73*AI19)</f>
        <v>46.881365262868272</v>
      </c>
      <c r="AJ32" s="504">
        <v>0.85160000000000002</v>
      </c>
      <c r="AK32" s="505">
        <v>0.26400000000000001</v>
      </c>
      <c r="AL32" s="503">
        <f>SQRT(AM32^2+AN32^$C9)*1000/(1.73*AL19)</f>
        <v>45.516102394715183</v>
      </c>
      <c r="AM32" s="504">
        <v>0.82679999999999998</v>
      </c>
      <c r="AN32" s="505">
        <v>0.25839999999999996</v>
      </c>
      <c r="AO32" s="503">
        <f>SQRT(AP32^2+AQ32^$C9)*1000/(1.73*AO19)</f>
        <v>45.361959812826896</v>
      </c>
      <c r="AP32" s="504">
        <v>0.82399999999999995</v>
      </c>
      <c r="AQ32" s="505">
        <v>0.252</v>
      </c>
    </row>
    <row r="33" spans="1:81" s="433" customFormat="1" ht="16.5" customHeight="1" x14ac:dyDescent="0.25">
      <c r="A33" s="493" t="s">
        <v>2150</v>
      </c>
      <c r="B33" s="494" t="s">
        <v>2151</v>
      </c>
      <c r="C33" s="495"/>
      <c r="D33" s="496"/>
      <c r="E33" s="497"/>
      <c r="F33" s="498"/>
      <c r="G33" s="499"/>
      <c r="H33" s="503">
        <f>SQRT(I33^2+J33^2)*1000/(1.73*H19)</f>
        <v>151.58537856363165</v>
      </c>
      <c r="I33" s="504">
        <v>2.0208000000000004</v>
      </c>
      <c r="J33" s="505">
        <v>1.8704000000000001</v>
      </c>
      <c r="K33" s="503">
        <f>SQRT(L33^2+M33^2)*1000/(1.73*K19)</f>
        <v>149.61838416082054</v>
      </c>
      <c r="L33" s="504">
        <v>1.9824000000000002</v>
      </c>
      <c r="M33" s="505">
        <v>1.8592</v>
      </c>
      <c r="N33" s="503">
        <f>SQRT(O33^2+P33^2)*1000/(1.73*N19)</f>
        <v>149.98795950783204</v>
      </c>
      <c r="O33" s="504">
        <v>1.9855999999999998</v>
      </c>
      <c r="P33" s="505">
        <v>1.8655999999999999</v>
      </c>
      <c r="Q33" s="503">
        <f>SQRT(R33^2+S33^2)*1000/(1.73*Q19)</f>
        <v>146.80727398287516</v>
      </c>
      <c r="R33" s="504">
        <v>1.9424000000000001</v>
      </c>
      <c r="S33" s="505">
        <v>1.8271999999999999</v>
      </c>
      <c r="T33" s="503">
        <f>SQRT(U33^2+V33^2)*1000/(1.73*T19)</f>
        <v>137.85707656953377</v>
      </c>
      <c r="U33" s="504">
        <v>1.8512</v>
      </c>
      <c r="V33" s="505">
        <v>1.6864000000000001</v>
      </c>
      <c r="W33" s="503">
        <f>SQRT(X33^2+Y33^2)*1000/(1.73*W19)</f>
        <v>138.42580448731843</v>
      </c>
      <c r="X33" s="504">
        <v>1.8608000000000002</v>
      </c>
      <c r="Y33" s="505">
        <v>1.6911999999999998</v>
      </c>
      <c r="Z33" s="503">
        <f>SQRT(AA33^2+AB33^2)*1000/(1.73*Z19)</f>
        <v>150.35567184824816</v>
      </c>
      <c r="AA33" s="504">
        <v>2.0095999999999998</v>
      </c>
      <c r="AB33" s="505">
        <v>1.8495999999999999</v>
      </c>
      <c r="AC33" s="503">
        <f>SQRT(AD33^2+AE33^2)*1000/(1.73*AC19)</f>
        <v>148.58846262015362</v>
      </c>
      <c r="AD33" s="504">
        <v>1.9792000000000001</v>
      </c>
      <c r="AE33" s="505">
        <v>1.8351999999999997</v>
      </c>
      <c r="AF33" s="503">
        <f>SQRT(AG33^2+AH33^2)*1000/(1.73*AF19)</f>
        <v>147.07667938289609</v>
      </c>
      <c r="AG33" s="504">
        <v>1.9728000000000001</v>
      </c>
      <c r="AH33" s="505">
        <v>1.8015999999999999</v>
      </c>
      <c r="AI33" s="503">
        <f>SQRT(AJ33^2+AK33^2)*1000/(1.73*AI19)</f>
        <v>148.58718338016899</v>
      </c>
      <c r="AJ33" s="504">
        <v>1.9967999999999999</v>
      </c>
      <c r="AK33" s="505">
        <v>1.8160000000000001</v>
      </c>
      <c r="AL33" s="503">
        <f>SQRT(AM33^2+AN33^2)*1000/(1.73*AL19)</f>
        <v>143.78903604394736</v>
      </c>
      <c r="AM33" s="504">
        <v>1.9152</v>
      </c>
      <c r="AN33" s="505">
        <v>1.776</v>
      </c>
      <c r="AO33" s="503">
        <f>SQRT(AP33^2+AQ33^2)*1000/(1.73*AO19)</f>
        <v>146.55712025216766</v>
      </c>
      <c r="AP33" s="504">
        <v>1.96</v>
      </c>
      <c r="AQ33" s="505">
        <v>1.8015999999999999</v>
      </c>
    </row>
    <row r="34" spans="1:81" s="433" customFormat="1" ht="16.5" customHeight="1" x14ac:dyDescent="0.25">
      <c r="A34" s="506"/>
      <c r="B34" s="494" t="s">
        <v>2152</v>
      </c>
      <c r="C34" s="495"/>
      <c r="D34" s="507"/>
      <c r="E34" s="508"/>
      <c r="F34" s="509"/>
      <c r="G34" s="510"/>
      <c r="H34" s="511">
        <f>SQRT(I34^2+J34^2)*1000/(1.73*H13)</f>
        <v>0.97868305960791524</v>
      </c>
      <c r="I34" s="512">
        <v>1.6E-2</v>
      </c>
      <c r="J34" s="505">
        <v>7.7491536774056411E-3</v>
      </c>
      <c r="K34" s="511">
        <f>SQRT(L34^2+M34^2)*1000/(1.73*K13)</f>
        <v>1.4680245894118729</v>
      </c>
      <c r="L34" s="512">
        <v>2.4E-2</v>
      </c>
      <c r="M34" s="505">
        <v>1.1623730516108462E-2</v>
      </c>
      <c r="N34" s="511">
        <f>SQRT(O34^2+P34^2)*1000/(1.73*N13)</f>
        <v>2.9360491788237457</v>
      </c>
      <c r="O34" s="512">
        <v>4.8000000000000001E-2</v>
      </c>
      <c r="P34" s="505">
        <v>2.3247461032216924E-2</v>
      </c>
      <c r="Q34" s="511">
        <f>SQRT(R34^2+S34^2)*1000/(1.73*Q13)</f>
        <v>0.97868305960791524</v>
      </c>
      <c r="R34" s="512">
        <v>1.6E-2</v>
      </c>
      <c r="S34" s="505">
        <v>7.7491536774056411E-3</v>
      </c>
      <c r="T34" s="511">
        <f>SQRT(U34^2+V34^2)*1000/(1.73*T13)</f>
        <v>3.4253907086277033</v>
      </c>
      <c r="U34" s="512">
        <v>5.6000000000000001E-2</v>
      </c>
      <c r="V34" s="505">
        <v>2.7122037870919744E-2</v>
      </c>
      <c r="W34" s="511">
        <f>SQRT(X34^2+Y34^2)*1000/(1.73*W13)</f>
        <v>1.9573661192158305</v>
      </c>
      <c r="X34" s="512">
        <v>3.2000000000000001E-2</v>
      </c>
      <c r="Y34" s="505">
        <v>1.5498307354811282E-2</v>
      </c>
      <c r="Z34" s="511">
        <f>SQRT(AA34^2+AB34^2)*1000/(1.73*Z13)</f>
        <v>0.97868305960791524</v>
      </c>
      <c r="AA34" s="512">
        <v>1.6E-2</v>
      </c>
      <c r="AB34" s="505">
        <v>7.7491536774056411E-3</v>
      </c>
      <c r="AC34" s="511">
        <f>SQRT(AD34^2+AE34^2)*1000/(1.73*AC13)</f>
        <v>2.9360491788237457</v>
      </c>
      <c r="AD34" s="512">
        <v>4.8000000000000001E-2</v>
      </c>
      <c r="AE34" s="505">
        <v>2.3247461032216924E-2</v>
      </c>
      <c r="AF34" s="511">
        <f>SQRT(AG34^2+AH34^2)*1000/(1.73*AF13)</f>
        <v>2.4467076490197877</v>
      </c>
      <c r="AG34" s="512">
        <v>0.04</v>
      </c>
      <c r="AH34" s="505">
        <v>1.9372884193514101E-2</v>
      </c>
      <c r="AI34" s="511">
        <f>SQRT(AJ34^2+AK34^2)*1000/(1.73*AI13)</f>
        <v>2.9360491788237457</v>
      </c>
      <c r="AJ34" s="512">
        <v>4.8000000000000001E-2</v>
      </c>
      <c r="AK34" s="505">
        <v>2.3247461032216924E-2</v>
      </c>
      <c r="AL34" s="511">
        <f>SQRT(AM34^2+AN34^2)*1000/(1.73*AL13)</f>
        <v>1.4680245894118729</v>
      </c>
      <c r="AM34" s="512">
        <v>2.4E-2</v>
      </c>
      <c r="AN34" s="505">
        <v>1.1623730516108462E-2</v>
      </c>
      <c r="AO34" s="511">
        <f>SQRT(AP34^2+AQ34^2)*1000/(1.73*AO13)</f>
        <v>2.9360491788237457</v>
      </c>
      <c r="AP34" s="512">
        <v>4.8000000000000001E-2</v>
      </c>
      <c r="AQ34" s="505">
        <v>2.3247461032216924E-2</v>
      </c>
    </row>
    <row r="35" spans="1:81" s="433" customFormat="1" ht="16.5" customHeight="1" thickBot="1" x14ac:dyDescent="0.3">
      <c r="A35" s="513"/>
      <c r="B35" s="514" t="s">
        <v>2153</v>
      </c>
      <c r="C35" s="515"/>
      <c r="D35" s="516"/>
      <c r="E35" s="508"/>
      <c r="F35" s="517"/>
      <c r="G35" s="518"/>
      <c r="H35" s="519">
        <f>SQRT(I35^2+J35^2)*1000/(1.73*H19)</f>
        <v>0.48934152980395762</v>
      </c>
      <c r="I35" s="520">
        <v>8.0000000000000002E-3</v>
      </c>
      <c r="J35" s="521">
        <v>3.8745768387028205E-3</v>
      </c>
      <c r="K35" s="519">
        <f>SQRT(L35^2+M35^2)*1000/(1.73*K19)</f>
        <v>0.48934152980395762</v>
      </c>
      <c r="L35" s="520">
        <v>8.0000000000000002E-3</v>
      </c>
      <c r="M35" s="521">
        <v>3.8745768387028205E-3</v>
      </c>
      <c r="N35" s="519">
        <f>SQRT(O35^2+P35^2)*1000/(1.73*N19)</f>
        <v>0.48934152980395762</v>
      </c>
      <c r="O35" s="520">
        <v>8.0000000000000002E-3</v>
      </c>
      <c r="P35" s="521">
        <v>3.8745768387028205E-3</v>
      </c>
      <c r="Q35" s="519">
        <f>SQRT(R35^2+S35^2)*1000/(1.73*Q19)</f>
        <v>0.48934152980395762</v>
      </c>
      <c r="R35" s="520">
        <v>8.0000000000000002E-3</v>
      </c>
      <c r="S35" s="521">
        <v>3.8745768387028205E-3</v>
      </c>
      <c r="T35" s="519">
        <f>SQRT(U35^2+V35^2)*1000/(1.73*T19)</f>
        <v>0.48934152980395762</v>
      </c>
      <c r="U35" s="520">
        <v>8.0000000000000002E-3</v>
      </c>
      <c r="V35" s="521">
        <v>3.8745768387028205E-3</v>
      </c>
      <c r="W35" s="522">
        <f>SQRT(X35^2+Y35^2)*1000/(1.73*W19)</f>
        <v>0</v>
      </c>
      <c r="X35" s="523">
        <v>0</v>
      </c>
      <c r="Y35" s="524">
        <v>0</v>
      </c>
      <c r="Z35" s="519">
        <f>SQRT(AA35^2+AB35^2)*1000/(1.73*Z19)</f>
        <v>0.48934152980395762</v>
      </c>
      <c r="AA35" s="520">
        <v>8.0000000000000002E-3</v>
      </c>
      <c r="AB35" s="521">
        <v>3.8745768387028205E-3</v>
      </c>
      <c r="AC35" s="519">
        <f>SQRT(AD35^2+AE35^2)*1000/(1.73*AC19)</f>
        <v>0.48934152980395762</v>
      </c>
      <c r="AD35" s="520">
        <v>8.0000000000000002E-3</v>
      </c>
      <c r="AE35" s="521">
        <v>3.8745768387028205E-3</v>
      </c>
      <c r="AF35" s="519">
        <f>SQRT(AG35^2+AH35^2)*1000/(1.73*AF19)</f>
        <v>0.48934152980395762</v>
      </c>
      <c r="AG35" s="520">
        <v>8.0000000000000002E-3</v>
      </c>
      <c r="AH35" s="521">
        <v>3.8745768387028205E-3</v>
      </c>
      <c r="AI35" s="519">
        <f>SQRT(AJ35^2+AK35^2)*1000/(1.73*AI19)</f>
        <v>0.48934152980395762</v>
      </c>
      <c r="AJ35" s="520">
        <v>8.0000000000000002E-3</v>
      </c>
      <c r="AK35" s="521">
        <v>3.8745768387028205E-3</v>
      </c>
      <c r="AL35" s="519">
        <f>SQRT(AM35^2+AN35^2)*1000/(1.73*AL19)</f>
        <v>0.48934152980395762</v>
      </c>
      <c r="AM35" s="520">
        <v>8.0000000000000002E-3</v>
      </c>
      <c r="AN35" s="521">
        <v>3.8745768387028205E-3</v>
      </c>
      <c r="AO35" s="522">
        <f>SQRT(AP35^2+AQ35^2)*1000/(1.73*AO19)</f>
        <v>0</v>
      </c>
      <c r="AP35" s="523">
        <v>0</v>
      </c>
      <c r="AQ35" s="524">
        <v>0</v>
      </c>
    </row>
    <row r="36" spans="1:81" s="433" customFormat="1" ht="16.5" customHeight="1" x14ac:dyDescent="0.25">
      <c r="A36" s="1376" t="s">
        <v>2154</v>
      </c>
      <c r="B36" s="1377"/>
      <c r="C36" s="1377"/>
      <c r="D36" s="1377"/>
      <c r="E36" s="1377"/>
      <c r="F36" s="1377"/>
      <c r="G36" s="1378"/>
      <c r="H36" s="490">
        <f>H28+H30+H34</f>
        <v>194.37011003959759</v>
      </c>
      <c r="I36" s="491">
        <f>I28+I30+I34</f>
        <v>2.8359999999999999</v>
      </c>
      <c r="J36" s="492">
        <f>J28+J30+J34</f>
        <v>1.9957491536774057</v>
      </c>
      <c r="K36" s="490">
        <f t="shared" ref="K36:AQ36" si="1">K28+K30+K34</f>
        <v>229.06312831045773</v>
      </c>
      <c r="L36" s="491">
        <f t="shared" si="1"/>
        <v>3.3403999999999998</v>
      </c>
      <c r="M36" s="492">
        <f t="shared" si="1"/>
        <v>2.4164237305161089</v>
      </c>
      <c r="N36" s="490">
        <f t="shared" si="1"/>
        <v>240.88779896524272</v>
      </c>
      <c r="O36" s="491">
        <f t="shared" si="1"/>
        <v>3.4847999999999999</v>
      </c>
      <c r="P36" s="492">
        <f t="shared" si="1"/>
        <v>2.2160474610322169</v>
      </c>
      <c r="Q36" s="490">
        <f t="shared" si="1"/>
        <v>218.1956703309925</v>
      </c>
      <c r="R36" s="491">
        <f t="shared" si="1"/>
        <v>3.0224000000000002</v>
      </c>
      <c r="S36" s="492">
        <f t="shared" si="1"/>
        <v>2.5045491536774054</v>
      </c>
      <c r="T36" s="490">
        <f t="shared" si="1"/>
        <v>177.39730762652459</v>
      </c>
      <c r="U36" s="491">
        <f t="shared" si="1"/>
        <v>2.7263999999999999</v>
      </c>
      <c r="V36" s="492">
        <f t="shared" si="1"/>
        <v>1.5271220378709198</v>
      </c>
      <c r="W36" s="490">
        <f t="shared" si="1"/>
        <v>165.40909833339509</v>
      </c>
      <c r="X36" s="491">
        <f t="shared" si="1"/>
        <v>2.5287999999999999</v>
      </c>
      <c r="Y36" s="492">
        <f t="shared" si="1"/>
        <v>1.4834983073548114</v>
      </c>
      <c r="Z36" s="490">
        <f t="shared" si="1"/>
        <v>175.77986122239008</v>
      </c>
      <c r="AA36" s="491">
        <f t="shared" si="1"/>
        <v>2.5504000000000002</v>
      </c>
      <c r="AB36" s="492">
        <f t="shared" si="1"/>
        <v>1.8653491536774054</v>
      </c>
      <c r="AC36" s="490">
        <f t="shared" si="1"/>
        <v>213.78317768523766</v>
      </c>
      <c r="AD36" s="491">
        <f t="shared" si="1"/>
        <v>3.2656000000000001</v>
      </c>
      <c r="AE36" s="492">
        <f t="shared" si="1"/>
        <v>1.8320474610322168</v>
      </c>
      <c r="AF36" s="490">
        <f t="shared" si="1"/>
        <v>201.28558978468399</v>
      </c>
      <c r="AG36" s="491">
        <f t="shared" si="1"/>
        <v>2.7896000000000001</v>
      </c>
      <c r="AH36" s="492">
        <f t="shared" si="1"/>
        <v>2.1913728841935143</v>
      </c>
      <c r="AI36" s="490">
        <f t="shared" si="1"/>
        <v>204.92759012960079</v>
      </c>
      <c r="AJ36" s="491">
        <f t="shared" si="1"/>
        <v>2.9255999999999998</v>
      </c>
      <c r="AK36" s="492">
        <f t="shared" si="1"/>
        <v>2.1072474610322169</v>
      </c>
      <c r="AL36" s="490">
        <f t="shared" si="1"/>
        <v>162.78910760199486</v>
      </c>
      <c r="AM36" s="491">
        <f t="shared" si="1"/>
        <v>2.3648000000000002</v>
      </c>
      <c r="AN36" s="492">
        <f t="shared" si="1"/>
        <v>1.6580237305161085</v>
      </c>
      <c r="AO36" s="490">
        <f t="shared" si="1"/>
        <v>197.90078282229439</v>
      </c>
      <c r="AP36" s="491">
        <f t="shared" si="1"/>
        <v>2.8768000000000002</v>
      </c>
      <c r="AQ36" s="492">
        <f t="shared" si="1"/>
        <v>1.953647461032217</v>
      </c>
      <c r="AR36" s="456"/>
      <c r="AS36" s="456"/>
    </row>
    <row r="37" spans="1:81" s="433" customFormat="1" ht="16.5" customHeight="1" thickBot="1" x14ac:dyDescent="0.3">
      <c r="A37" s="1379" t="s">
        <v>2155</v>
      </c>
      <c r="B37" s="1380"/>
      <c r="C37" s="1380"/>
      <c r="D37" s="1380"/>
      <c r="E37" s="1380"/>
      <c r="F37" s="1380"/>
      <c r="G37" s="1381"/>
      <c r="H37" s="519">
        <f>H33+H32+H31+H29+H35</f>
        <v>201.35361670843903</v>
      </c>
      <c r="I37" s="520">
        <f>I33+I32+I31+I29+I35</f>
        <v>2.9180000000000006</v>
      </c>
      <c r="J37" s="521">
        <f>J33+J32+J31+J29+J35</f>
        <v>2.1446745768387028</v>
      </c>
      <c r="K37" s="519">
        <f t="shared" ref="K37:AQ37" si="2">K33+K32+K31+K29+K35</f>
        <v>201.20326194070549</v>
      </c>
      <c r="L37" s="520">
        <f t="shared" si="2"/>
        <v>2.9128000000000003</v>
      </c>
      <c r="M37" s="521">
        <f t="shared" si="2"/>
        <v>2.1398745768387029</v>
      </c>
      <c r="N37" s="519">
        <f t="shared" si="2"/>
        <v>201.00573971821734</v>
      </c>
      <c r="O37" s="520">
        <f t="shared" si="2"/>
        <v>2.9056000000000002</v>
      </c>
      <c r="P37" s="521">
        <f t="shared" si="2"/>
        <v>2.1450745768387027</v>
      </c>
      <c r="Q37" s="519">
        <f t="shared" si="2"/>
        <v>201.5775312218783</v>
      </c>
      <c r="R37" s="520">
        <f t="shared" si="2"/>
        <v>2.9304000000000001</v>
      </c>
      <c r="S37" s="521">
        <f t="shared" si="2"/>
        <v>2.1142745768387026</v>
      </c>
      <c r="T37" s="519">
        <f t="shared" si="2"/>
        <v>196.37444662188665</v>
      </c>
      <c r="U37" s="520">
        <f t="shared" si="2"/>
        <v>2.9076</v>
      </c>
      <c r="V37" s="521">
        <f t="shared" si="2"/>
        <v>1.9810745768387028</v>
      </c>
      <c r="W37" s="519">
        <f t="shared" si="2"/>
        <v>201.39395170851446</v>
      </c>
      <c r="X37" s="520">
        <f t="shared" si="2"/>
        <v>2.9936000000000003</v>
      </c>
      <c r="Y37" s="521">
        <f t="shared" si="2"/>
        <v>2.0364</v>
      </c>
      <c r="Z37" s="519">
        <f t="shared" si="2"/>
        <v>211.02078535792103</v>
      </c>
      <c r="AA37" s="520">
        <f t="shared" si="2"/>
        <v>3.0995999999999997</v>
      </c>
      <c r="AB37" s="521">
        <f t="shared" si="2"/>
        <v>2.2238745768387029</v>
      </c>
      <c r="AC37" s="519">
        <f t="shared" si="2"/>
        <v>210.45036277725163</v>
      </c>
      <c r="AD37" s="520">
        <f t="shared" si="2"/>
        <v>3.0924</v>
      </c>
      <c r="AE37" s="521">
        <f t="shared" si="2"/>
        <v>2.1938745768387022</v>
      </c>
      <c r="AF37" s="519">
        <f t="shared" si="2"/>
        <v>208.41822929394806</v>
      </c>
      <c r="AG37" s="520">
        <f t="shared" si="2"/>
        <v>3.0768</v>
      </c>
      <c r="AH37" s="521">
        <f t="shared" si="2"/>
        <v>2.1450745768387027</v>
      </c>
      <c r="AI37" s="519">
        <f t="shared" si="2"/>
        <v>207.11459213606648</v>
      </c>
      <c r="AJ37" s="520">
        <f t="shared" si="2"/>
        <v>3.0495999999999999</v>
      </c>
      <c r="AK37" s="521">
        <f t="shared" si="2"/>
        <v>2.1450745768387027</v>
      </c>
      <c r="AL37" s="519">
        <f t="shared" si="2"/>
        <v>201.22305139703792</v>
      </c>
      <c r="AM37" s="520">
        <f t="shared" si="2"/>
        <v>2.948</v>
      </c>
      <c r="AN37" s="521">
        <f t="shared" si="2"/>
        <v>2.1006745768387023</v>
      </c>
      <c r="AO37" s="519">
        <f t="shared" si="2"/>
        <v>203.13877672934586</v>
      </c>
      <c r="AP37" s="520">
        <f t="shared" si="2"/>
        <v>2.9783999999999997</v>
      </c>
      <c r="AQ37" s="521">
        <f t="shared" si="2"/>
        <v>2.1147999999999998</v>
      </c>
      <c r="AR37" s="456"/>
      <c r="AS37" s="456"/>
    </row>
    <row r="38" spans="1:81" s="433" customFormat="1" ht="16.5" customHeight="1" thickBot="1" x14ac:dyDescent="0.3">
      <c r="A38" s="1382" t="s">
        <v>2156</v>
      </c>
      <c r="B38" s="1383"/>
      <c r="C38" s="1383"/>
      <c r="D38" s="1383"/>
      <c r="E38" s="1383"/>
      <c r="F38" s="1383"/>
      <c r="G38" s="1383"/>
      <c r="H38" s="525">
        <f>H36+H37</f>
        <v>395.7237267480366</v>
      </c>
      <c r="I38" s="526">
        <f t="shared" ref="I38:AM38" si="3">I36+I37</f>
        <v>5.7540000000000004</v>
      </c>
      <c r="J38" s="527">
        <f t="shared" si="3"/>
        <v>4.1404237305161082</v>
      </c>
      <c r="K38" s="525">
        <f t="shared" si="3"/>
        <v>430.26639025116322</v>
      </c>
      <c r="L38" s="526">
        <f t="shared" si="3"/>
        <v>6.2531999999999996</v>
      </c>
      <c r="M38" s="527">
        <f t="shared" si="3"/>
        <v>4.5562983073548118</v>
      </c>
      <c r="N38" s="525">
        <f t="shared" si="3"/>
        <v>441.89353868346006</v>
      </c>
      <c r="O38" s="526">
        <f t="shared" si="3"/>
        <v>6.3903999999999996</v>
      </c>
      <c r="P38" s="527">
        <f t="shared" si="3"/>
        <v>4.3611220378709197</v>
      </c>
      <c r="Q38" s="525">
        <f t="shared" si="3"/>
        <v>419.77320155287077</v>
      </c>
      <c r="R38" s="526">
        <f t="shared" si="3"/>
        <v>5.9527999999999999</v>
      </c>
      <c r="S38" s="527">
        <f t="shared" si="3"/>
        <v>4.618823730516108</v>
      </c>
      <c r="T38" s="525">
        <f t="shared" si="3"/>
        <v>373.77175424841124</v>
      </c>
      <c r="U38" s="526">
        <f t="shared" si="3"/>
        <v>5.6340000000000003</v>
      </c>
      <c r="V38" s="527">
        <f t="shared" si="3"/>
        <v>3.5081966147096226</v>
      </c>
      <c r="W38" s="525">
        <f t="shared" si="3"/>
        <v>366.80305004190956</v>
      </c>
      <c r="X38" s="526">
        <f t="shared" si="3"/>
        <v>5.5224000000000002</v>
      </c>
      <c r="Y38" s="527">
        <f t="shared" si="3"/>
        <v>3.5198983073548114</v>
      </c>
      <c r="Z38" s="525">
        <f t="shared" si="3"/>
        <v>386.80064658031108</v>
      </c>
      <c r="AA38" s="526">
        <f t="shared" si="3"/>
        <v>5.65</v>
      </c>
      <c r="AB38" s="527">
        <f t="shared" si="3"/>
        <v>4.0892237305161085</v>
      </c>
      <c r="AC38" s="525">
        <f t="shared" si="3"/>
        <v>424.23354046248926</v>
      </c>
      <c r="AD38" s="526">
        <f t="shared" si="3"/>
        <v>6.3580000000000005</v>
      </c>
      <c r="AE38" s="527">
        <f t="shared" si="3"/>
        <v>4.0259220378709193</v>
      </c>
      <c r="AF38" s="525">
        <f t="shared" si="3"/>
        <v>409.70381907863202</v>
      </c>
      <c r="AG38" s="526">
        <f t="shared" si="3"/>
        <v>5.8664000000000005</v>
      </c>
      <c r="AH38" s="527">
        <f t="shared" si="3"/>
        <v>4.3364474610322166</v>
      </c>
      <c r="AI38" s="525">
        <f t="shared" si="3"/>
        <v>412.04218226566729</v>
      </c>
      <c r="AJ38" s="526">
        <f t="shared" si="3"/>
        <v>5.9751999999999992</v>
      </c>
      <c r="AK38" s="527">
        <f t="shared" si="3"/>
        <v>4.2523220378709201</v>
      </c>
      <c r="AL38" s="525">
        <f t="shared" si="3"/>
        <v>364.01215899903275</v>
      </c>
      <c r="AM38" s="526">
        <f t="shared" si="3"/>
        <v>5.3128000000000002</v>
      </c>
      <c r="AN38" s="527">
        <f>AN36+AN37</f>
        <v>3.7586983073548108</v>
      </c>
      <c r="AO38" s="525">
        <f>AO36+AO37</f>
        <v>401.03955955164025</v>
      </c>
      <c r="AP38" s="526">
        <f>AP36+AP37</f>
        <v>5.8552</v>
      </c>
      <c r="AQ38" s="527">
        <f>AQ36+AQ37</f>
        <v>4.0684474610322168</v>
      </c>
      <c r="AR38" s="456"/>
      <c r="AS38" s="456"/>
      <c r="CB38" s="456"/>
      <c r="CC38" s="456"/>
    </row>
    <row r="39" spans="1:81" s="433" customFormat="1" ht="16.5" hidden="1" customHeight="1" x14ac:dyDescent="0.25">
      <c r="A39" s="528"/>
      <c r="B39" s="438"/>
      <c r="C39" s="474"/>
      <c r="D39" s="476"/>
      <c r="E39" s="477"/>
      <c r="F39" s="476"/>
      <c r="G39" s="477"/>
      <c r="H39" s="478"/>
      <c r="I39" s="476"/>
      <c r="K39" s="478"/>
      <c r="L39" s="476"/>
      <c r="M39" s="476"/>
      <c r="N39" s="478"/>
      <c r="O39" s="476"/>
      <c r="P39" s="476"/>
      <c r="Q39" s="478"/>
      <c r="R39" s="476"/>
      <c r="S39" s="476"/>
      <c r="T39" s="478"/>
      <c r="U39" s="476"/>
      <c r="V39" s="476"/>
      <c r="W39" s="478"/>
      <c r="X39" s="476"/>
      <c r="Y39" s="476"/>
      <c r="Z39" s="478"/>
      <c r="AA39" s="476"/>
      <c r="AB39" s="476"/>
      <c r="AC39" s="478"/>
      <c r="AD39" s="476"/>
      <c r="AE39" s="476"/>
      <c r="AF39" s="478"/>
      <c r="AG39" s="476"/>
      <c r="AH39" s="476"/>
      <c r="AI39" s="478"/>
      <c r="AJ39" s="476"/>
      <c r="AK39" s="476"/>
      <c r="AL39" s="478"/>
      <c r="AM39" s="476"/>
      <c r="AN39" s="476"/>
      <c r="AO39" s="478"/>
      <c r="AP39" s="476"/>
      <c r="AQ39" s="476"/>
    </row>
    <row r="40" spans="1:81" s="433" customFormat="1" ht="16.5" hidden="1" customHeight="1" x14ac:dyDescent="0.25">
      <c r="A40" s="529" t="s">
        <v>2157</v>
      </c>
      <c r="B40" s="438"/>
      <c r="C40" s="438"/>
      <c r="D40" s="438"/>
      <c r="E40" s="438"/>
      <c r="F40" s="438"/>
      <c r="G40" s="438"/>
      <c r="H40" s="530"/>
      <c r="I40" s="531"/>
      <c r="J40" s="476"/>
      <c r="K40" s="532"/>
      <c r="L40" s="532"/>
      <c r="M40" s="532"/>
      <c r="N40" s="532"/>
      <c r="O40" s="532"/>
      <c r="P40" s="532"/>
      <c r="Q40" s="532"/>
      <c r="R40" s="532"/>
      <c r="S40" s="532"/>
      <c r="T40" s="532"/>
      <c r="U40" s="532"/>
      <c r="V40" s="532"/>
      <c r="W40" s="532"/>
      <c r="X40" s="532"/>
      <c r="Y40" s="532"/>
      <c r="Z40" s="532"/>
      <c r="AA40" s="532"/>
      <c r="AB40" s="532"/>
      <c r="AC40" s="532"/>
      <c r="AD40" s="532"/>
      <c r="AE40" s="532"/>
      <c r="AF40" s="532"/>
      <c r="AG40" s="532"/>
      <c r="AH40" s="532"/>
      <c r="AI40" s="532"/>
      <c r="AJ40" s="532"/>
      <c r="AK40" s="532"/>
      <c r="AL40" s="532"/>
      <c r="AM40" s="532"/>
      <c r="AN40" s="532"/>
      <c r="AO40" s="532"/>
      <c r="AP40" s="532"/>
      <c r="AQ40" s="532"/>
    </row>
    <row r="41" spans="1:81" s="433" customFormat="1" ht="16.5" hidden="1" customHeight="1" x14ac:dyDescent="0.25">
      <c r="A41" s="1358" t="s">
        <v>12</v>
      </c>
      <c r="B41" s="533" t="s">
        <v>2158</v>
      </c>
      <c r="C41" s="534"/>
      <c r="D41" s="534" t="s">
        <v>2159</v>
      </c>
      <c r="E41" s="534"/>
      <c r="F41" s="534"/>
      <c r="G41" s="535"/>
      <c r="H41" s="536">
        <f>$C$43/1000</f>
        <v>2.3E-2</v>
      </c>
      <c r="I41" s="537" t="s">
        <v>2160</v>
      </c>
      <c r="J41" s="538">
        <f>$G$43/1000</f>
        <v>0.16250000000000001</v>
      </c>
      <c r="K41" s="536">
        <f>$C$43/1000</f>
        <v>2.3E-2</v>
      </c>
      <c r="L41" s="537" t="s">
        <v>2160</v>
      </c>
      <c r="M41" s="538">
        <f>$G$43/1000</f>
        <v>0.16250000000000001</v>
      </c>
      <c r="N41" s="536">
        <f>$C$43/1000</f>
        <v>2.3E-2</v>
      </c>
      <c r="O41" s="537" t="s">
        <v>2160</v>
      </c>
      <c r="P41" s="538">
        <f>$G$43/1000</f>
        <v>0.16250000000000001</v>
      </c>
      <c r="Q41" s="536">
        <f>$C$43/1000</f>
        <v>2.3E-2</v>
      </c>
      <c r="R41" s="537" t="s">
        <v>2160</v>
      </c>
      <c r="S41" s="538">
        <f>$G$43/1000</f>
        <v>0.16250000000000001</v>
      </c>
      <c r="T41" s="536">
        <f>$C$43/1000</f>
        <v>2.3E-2</v>
      </c>
      <c r="U41" s="537" t="s">
        <v>2160</v>
      </c>
      <c r="V41" s="538">
        <f>$G$43/1000</f>
        <v>0.16250000000000001</v>
      </c>
      <c r="W41" s="536">
        <f>$C$43/1000</f>
        <v>2.3E-2</v>
      </c>
      <c r="X41" s="537" t="s">
        <v>2160</v>
      </c>
      <c r="Y41" s="538">
        <f>$G$43/1000</f>
        <v>0.16250000000000001</v>
      </c>
      <c r="Z41" s="536">
        <f>$C$43/1000</f>
        <v>2.3E-2</v>
      </c>
      <c r="AA41" s="537" t="s">
        <v>2160</v>
      </c>
      <c r="AB41" s="538">
        <f>$G$43/1000</f>
        <v>0.16250000000000001</v>
      </c>
      <c r="AC41" s="536">
        <f>$C$43/1000</f>
        <v>2.3E-2</v>
      </c>
      <c r="AD41" s="537" t="s">
        <v>2160</v>
      </c>
      <c r="AE41" s="538">
        <f>$G$43/1000</f>
        <v>0.16250000000000001</v>
      </c>
      <c r="AF41" s="536">
        <f>$C$43/1000</f>
        <v>2.3E-2</v>
      </c>
      <c r="AG41" s="537" t="s">
        <v>2160</v>
      </c>
      <c r="AH41" s="538">
        <f>$G$43/1000</f>
        <v>0.16250000000000001</v>
      </c>
      <c r="AI41" s="536">
        <f>$C$43/1000</f>
        <v>2.3E-2</v>
      </c>
      <c r="AJ41" s="537" t="s">
        <v>2160</v>
      </c>
      <c r="AK41" s="538">
        <f>$G$43/1000</f>
        <v>0.16250000000000001</v>
      </c>
      <c r="AL41" s="536">
        <f>$C$43/1000</f>
        <v>2.3E-2</v>
      </c>
      <c r="AM41" s="537" t="s">
        <v>2160</v>
      </c>
      <c r="AN41" s="538">
        <f>$G$43/1000</f>
        <v>0.16250000000000001</v>
      </c>
      <c r="AO41" s="536">
        <f>$C$43/1000</f>
        <v>2.3E-2</v>
      </c>
      <c r="AP41" s="537" t="s">
        <v>2160</v>
      </c>
      <c r="AQ41" s="538">
        <f>$G$43/1000</f>
        <v>0.16250000000000001</v>
      </c>
    </row>
    <row r="42" spans="1:81" s="433" customFormat="1" ht="16.5" hidden="1" customHeight="1" x14ac:dyDescent="0.25">
      <c r="A42" s="1359"/>
      <c r="B42" s="539" t="s">
        <v>2161</v>
      </c>
      <c r="C42" s="540"/>
      <c r="D42" s="540" t="s">
        <v>2162</v>
      </c>
      <c r="E42" s="540"/>
      <c r="F42" s="540"/>
      <c r="G42" s="541"/>
      <c r="H42" s="542">
        <f>((I10^2+J10^2)*$G$44/1000)/$C$9*$C$9</f>
        <v>1.4934978478961427</v>
      </c>
      <c r="I42" s="543" t="s">
        <v>2160</v>
      </c>
      <c r="J42" s="544">
        <f>((I10^2+J10^2)*$J$44)/(100*$C$9)</f>
        <v>4.9113819235106271E-2</v>
      </c>
      <c r="K42" s="542">
        <f>((L10^2+M10^2)*$G$44/1000)/$C$9*$C$9</f>
        <v>2.1109041012727983</v>
      </c>
      <c r="L42" s="543" t="s">
        <v>2160</v>
      </c>
      <c r="M42" s="544">
        <f>((L10^2+M10^2)*$J$44)/(100*$C$9)</f>
        <v>6.941728278925928E-2</v>
      </c>
      <c r="N42" s="542">
        <f>((O10^2+P10^2)*$G$44/1000)/$C$9*$C$9</f>
        <v>2.1180228688078837</v>
      </c>
      <c r="O42" s="543" t="s">
        <v>2160</v>
      </c>
      <c r="P42" s="544">
        <f>((O10^2+P10^2)*$J$44)/(100*$C$9)</f>
        <v>6.9651384138911324E-2</v>
      </c>
      <c r="Q42" s="542">
        <f>((R10^2+S10^2)*$G$44/1000)/$C$9*$C$9</f>
        <v>1.9134783166374953</v>
      </c>
      <c r="R42" s="543" t="s">
        <v>2160</v>
      </c>
      <c r="S42" s="544">
        <f>((R10^2+S10^2)*$J$44)/(100*$C$9)</f>
        <v>6.2924917023492496E-2</v>
      </c>
      <c r="T42" s="542">
        <f>((U10^2+V10^2)*$G$44/1000)/$C$9*$C$9</f>
        <v>1.2127598942892526</v>
      </c>
      <c r="U42" s="543" t="s">
        <v>2160</v>
      </c>
      <c r="V42" s="544">
        <f>((U10^2+V10^2)*$J$44)/(100*$C$9)</f>
        <v>3.9881724843202411E-2</v>
      </c>
      <c r="W42" s="542">
        <f>((X10^2+Y10^2)*$G$44/1000)/$C$9*$C$9</f>
        <v>1.0674871501895549</v>
      </c>
      <c r="X42" s="543" t="s">
        <v>2160</v>
      </c>
      <c r="Y42" s="544">
        <f>((X10^2+Y10^2)*$J$44)/(100*$C$9)</f>
        <v>3.5104416791804025E-2</v>
      </c>
      <c r="Z42" s="542">
        <f>((AA10^2+AB10^2)*$G$44/1000)/$C$9*$C$9</f>
        <v>1.2399213583642754</v>
      </c>
      <c r="AA42" s="543" t="s">
        <v>2160</v>
      </c>
      <c r="AB42" s="544">
        <f>((AA10^2+AB10^2)*$J$44)/(100*$C$9)</f>
        <v>4.0774932181010567E-2</v>
      </c>
      <c r="AC42" s="542">
        <f>((AD10^2+AE10^2)*$G$44/1000)/$C$9*$C$9</f>
        <v>1.7412110190141499</v>
      </c>
      <c r="AD42" s="543" t="s">
        <v>2160</v>
      </c>
      <c r="AE42" s="544">
        <f>((AD10^2+AE10^2)*$J$44)/(100*$C$9)</f>
        <v>5.725989050369424E-2</v>
      </c>
      <c r="AF42" s="542">
        <f>((AG10^2+AH10^2)*$G$44/1000)/$C$9*$C$9</f>
        <v>1.5628048832424868</v>
      </c>
      <c r="AG42" s="543" t="s">
        <v>2160</v>
      </c>
      <c r="AH42" s="544">
        <f>((AG10^2+AH10^2)*$J$44)/(100*$C$9)</f>
        <v>5.1392987705631013E-2</v>
      </c>
      <c r="AI42" s="542">
        <f>((AJ10^2+AK10^2)*$G$44/1000)/$C$9*$C$9</f>
        <v>1.6144237047034988</v>
      </c>
      <c r="AJ42" s="543" t="s">
        <v>2160</v>
      </c>
      <c r="AK42" s="544">
        <f>((AJ10^2+AK10^2)*$J$44)/(100*$C$9)</f>
        <v>5.3090477574757142E-2</v>
      </c>
      <c r="AL42" s="542">
        <f>((AM10^2+AN10^2)*$G$44/1000)/$C$9*$C$9</f>
        <v>1.035908745767246</v>
      </c>
      <c r="AM42" s="543" t="s">
        <v>2160</v>
      </c>
      <c r="AN42" s="544">
        <f>((AM10^2+AN10^2)*$J$44)/(100*$C$9)</f>
        <v>3.4065957949218406E-2</v>
      </c>
      <c r="AO42" s="542">
        <f>((AP10^2+AQ10^2)*$G$44/1000)/$C$9*$C$9</f>
        <v>1.5017944797696852</v>
      </c>
      <c r="AP42" s="543" t="s">
        <v>2160</v>
      </c>
      <c r="AQ42" s="544">
        <f>((AP10^2+AQ10^2)*$J$44)/(100*$C$9)</f>
        <v>4.9386654765918317E-2</v>
      </c>
    </row>
    <row r="43" spans="1:81" s="433" customFormat="1" ht="16.5" hidden="1" customHeight="1" x14ac:dyDescent="0.25">
      <c r="A43" s="1359"/>
      <c r="B43" s="545" t="s">
        <v>2163</v>
      </c>
      <c r="C43" s="546">
        <v>23</v>
      </c>
      <c r="D43" s="547"/>
      <c r="E43" s="1361" t="s">
        <v>2164</v>
      </c>
      <c r="F43" s="1361"/>
      <c r="G43" s="548">
        <v>162.5</v>
      </c>
      <c r="H43" s="549"/>
      <c r="I43" s="550"/>
      <c r="J43" s="551"/>
      <c r="K43" s="1362"/>
      <c r="L43" s="1363"/>
      <c r="M43" s="1364"/>
      <c r="N43" s="1362"/>
      <c r="O43" s="1363"/>
      <c r="P43" s="1364"/>
      <c r="Q43" s="1362"/>
      <c r="R43" s="1363"/>
      <c r="S43" s="1364"/>
      <c r="T43" s="1362"/>
      <c r="U43" s="1363"/>
      <c r="V43" s="1364"/>
      <c r="W43" s="1362"/>
      <c r="X43" s="1363"/>
      <c r="Y43" s="1364"/>
      <c r="Z43" s="1362"/>
      <c r="AA43" s="1363"/>
      <c r="AB43" s="1364"/>
      <c r="AC43" s="1362"/>
      <c r="AD43" s="1363"/>
      <c r="AE43" s="1364"/>
      <c r="AF43" s="1362"/>
      <c r="AG43" s="1363"/>
      <c r="AH43" s="1364"/>
      <c r="AI43" s="1362"/>
      <c r="AJ43" s="1363"/>
      <c r="AK43" s="1364"/>
      <c r="AL43" s="1362"/>
      <c r="AM43" s="1363"/>
      <c r="AN43" s="1364"/>
      <c r="AO43" s="1362"/>
      <c r="AP43" s="1363"/>
      <c r="AQ43" s="1364"/>
    </row>
    <row r="44" spans="1:81" s="433" customFormat="1" ht="16.5" hidden="1" customHeight="1" x14ac:dyDescent="0.25">
      <c r="A44" s="1359"/>
      <c r="B44" s="468"/>
      <c r="C44" s="471"/>
      <c r="D44" s="473"/>
      <c r="E44" s="552"/>
      <c r="F44" s="552" t="s">
        <v>2165</v>
      </c>
      <c r="G44" s="469">
        <v>124.19</v>
      </c>
      <c r="H44" s="1438" t="s">
        <v>2166</v>
      </c>
      <c r="I44" s="1439"/>
      <c r="J44" s="553">
        <v>10.210000000000001</v>
      </c>
      <c r="K44" s="1365"/>
      <c r="L44" s="1366"/>
      <c r="M44" s="1367"/>
      <c r="N44" s="1365"/>
      <c r="O44" s="1366"/>
      <c r="P44" s="1367"/>
      <c r="Q44" s="1365"/>
      <c r="R44" s="1366"/>
      <c r="S44" s="1367"/>
      <c r="T44" s="1365"/>
      <c r="U44" s="1366"/>
      <c r="V44" s="1367"/>
      <c r="W44" s="1365"/>
      <c r="X44" s="1366"/>
      <c r="Y44" s="1367"/>
      <c r="Z44" s="1365"/>
      <c r="AA44" s="1366"/>
      <c r="AB44" s="1367"/>
      <c r="AC44" s="1365"/>
      <c r="AD44" s="1366"/>
      <c r="AE44" s="1367"/>
      <c r="AF44" s="1365"/>
      <c r="AG44" s="1366"/>
      <c r="AH44" s="1367"/>
      <c r="AI44" s="1365"/>
      <c r="AJ44" s="1366"/>
      <c r="AK44" s="1367"/>
      <c r="AL44" s="1365"/>
      <c r="AM44" s="1366"/>
      <c r="AN44" s="1367"/>
      <c r="AO44" s="1365"/>
      <c r="AP44" s="1366"/>
      <c r="AQ44" s="1367"/>
    </row>
    <row r="45" spans="1:81" s="433" customFormat="1" ht="16.5" hidden="1" customHeight="1" x14ac:dyDescent="0.25">
      <c r="A45" s="1360"/>
      <c r="B45" s="1355" t="s">
        <v>2167</v>
      </c>
      <c r="C45" s="1356"/>
      <c r="D45" s="1356"/>
      <c r="E45" s="1356"/>
      <c r="F45" s="1356"/>
      <c r="G45" s="1357"/>
      <c r="H45" s="554">
        <f>I9</f>
        <v>2.8639999999999999</v>
      </c>
      <c r="I45" s="555" t="s">
        <v>2160</v>
      </c>
      <c r="J45" s="556">
        <f>J9</f>
        <v>2.0328700879358053</v>
      </c>
      <c r="K45" s="554">
        <f>L9</f>
        <v>3.3679999999999999</v>
      </c>
      <c r="L45" s="555" t="s">
        <v>2160</v>
      </c>
      <c r="M45" s="556">
        <f>M9</f>
        <v>2.4449297412558626</v>
      </c>
      <c r="N45" s="554">
        <f>O9</f>
        <v>3.49</v>
      </c>
      <c r="O45" s="555" t="s">
        <v>2160</v>
      </c>
      <c r="P45" s="556">
        <f>P9</f>
        <v>2.2572659438074161</v>
      </c>
      <c r="Q45" s="554">
        <f>R9</f>
        <v>3.0529999999999999</v>
      </c>
      <c r="R45" s="555" t="s">
        <v>2160</v>
      </c>
      <c r="S45" s="556">
        <f>S9</f>
        <v>2.5511337679358048</v>
      </c>
      <c r="T45" s="554">
        <f>U9</f>
        <v>2.7120000000000002</v>
      </c>
      <c r="U45" s="555" t="s">
        <v>2160</v>
      </c>
      <c r="V45" s="556">
        <f>V9</f>
        <v>1.5555265077753189</v>
      </c>
      <c r="W45" s="554">
        <f>X9</f>
        <v>2.536</v>
      </c>
      <c r="X45" s="555" t="s">
        <v>2160</v>
      </c>
      <c r="Y45" s="556">
        <f>Y9</f>
        <v>1.5110913758716107</v>
      </c>
      <c r="Z45" s="554">
        <f>AA9</f>
        <v>2.5739999999999998</v>
      </c>
      <c r="AA45" s="555" t="s">
        <v>2160</v>
      </c>
      <c r="AB45" s="556">
        <f>AB9</f>
        <v>1.9000446479358051</v>
      </c>
      <c r="AC45" s="554">
        <f>AD9</f>
        <v>3.2679999999999998</v>
      </c>
      <c r="AD45" s="555" t="s">
        <v>2160</v>
      </c>
      <c r="AE45" s="556">
        <f>AE9</f>
        <v>1.866123543807416</v>
      </c>
      <c r="AF45" s="554">
        <f>AG9</f>
        <v>2.8096000000000001</v>
      </c>
      <c r="AG45" s="555" t="s">
        <v>2160</v>
      </c>
      <c r="AH45" s="556">
        <f>AH9</f>
        <v>2.2321324198395134</v>
      </c>
      <c r="AI45" s="554">
        <f>AJ9</f>
        <v>2.9220000000000002</v>
      </c>
      <c r="AJ45" s="555" t="s">
        <v>2160</v>
      </c>
      <c r="AK45" s="556">
        <f>AK9</f>
        <v>2.1464422638074159</v>
      </c>
      <c r="AL45" s="554">
        <f>AM9</f>
        <v>2.3769999999999998</v>
      </c>
      <c r="AM45" s="555" t="s">
        <v>2160</v>
      </c>
      <c r="AN45" s="556">
        <f>AN9</f>
        <v>1.688862971903708</v>
      </c>
      <c r="AO45" s="554">
        <f>AP9</f>
        <v>2.8730000000000002</v>
      </c>
      <c r="AP45" s="555" t="s">
        <v>2160</v>
      </c>
      <c r="AQ45" s="556">
        <f>AQ9</f>
        <v>1.9899853038074162</v>
      </c>
    </row>
    <row r="46" spans="1:81" s="433" customFormat="1" ht="16.5" hidden="1" customHeight="1" x14ac:dyDescent="0.25">
      <c r="A46" s="1358" t="s">
        <v>16</v>
      </c>
      <c r="B46" s="533" t="s">
        <v>2158</v>
      </c>
      <c r="C46" s="534"/>
      <c r="D46" s="534" t="s">
        <v>2159</v>
      </c>
      <c r="E46" s="534"/>
      <c r="F46" s="534"/>
      <c r="G46" s="534"/>
      <c r="H46" s="536">
        <f>$C$48/1000</f>
        <v>2.1999999999999999E-2</v>
      </c>
      <c r="I46" s="537" t="s">
        <v>2160</v>
      </c>
      <c r="J46" s="538">
        <f>$G$48/1000</f>
        <v>0.16500000000000001</v>
      </c>
      <c r="K46" s="536">
        <f>$C$48/1000</f>
        <v>2.1999999999999999E-2</v>
      </c>
      <c r="L46" s="537" t="s">
        <v>2160</v>
      </c>
      <c r="M46" s="538">
        <f>$G$48/1000</f>
        <v>0.16500000000000001</v>
      </c>
      <c r="N46" s="536">
        <f>$C$48/1000</f>
        <v>2.1999999999999999E-2</v>
      </c>
      <c r="O46" s="537" t="s">
        <v>2160</v>
      </c>
      <c r="P46" s="538">
        <f>$G$48/1000</f>
        <v>0.16500000000000001</v>
      </c>
      <c r="Q46" s="536">
        <f>$C$48/1000</f>
        <v>2.1999999999999999E-2</v>
      </c>
      <c r="R46" s="537" t="s">
        <v>2160</v>
      </c>
      <c r="S46" s="538">
        <f>$G$48/1000</f>
        <v>0.16500000000000001</v>
      </c>
      <c r="T46" s="536">
        <f>$C$48/1000</f>
        <v>2.1999999999999999E-2</v>
      </c>
      <c r="U46" s="537" t="s">
        <v>2160</v>
      </c>
      <c r="V46" s="538">
        <f>$G$48/1000</f>
        <v>0.16500000000000001</v>
      </c>
      <c r="W46" s="536">
        <f>$C$48/1000</f>
        <v>2.1999999999999999E-2</v>
      </c>
      <c r="X46" s="537" t="s">
        <v>2160</v>
      </c>
      <c r="Y46" s="538">
        <f>$G$48/1000</f>
        <v>0.16500000000000001</v>
      </c>
      <c r="Z46" s="536">
        <f>$C$48/1000</f>
        <v>2.1999999999999999E-2</v>
      </c>
      <c r="AA46" s="537" t="s">
        <v>2160</v>
      </c>
      <c r="AB46" s="538">
        <f>$G$48/1000</f>
        <v>0.16500000000000001</v>
      </c>
      <c r="AC46" s="536">
        <f>$C$48/1000</f>
        <v>2.1999999999999999E-2</v>
      </c>
      <c r="AD46" s="537" t="s">
        <v>2160</v>
      </c>
      <c r="AE46" s="538">
        <f>$G$48/1000</f>
        <v>0.16500000000000001</v>
      </c>
      <c r="AF46" s="536">
        <f>$C$48/1000</f>
        <v>2.1999999999999999E-2</v>
      </c>
      <c r="AG46" s="537" t="s">
        <v>2160</v>
      </c>
      <c r="AH46" s="538">
        <f>$G$48/1000</f>
        <v>0.16500000000000001</v>
      </c>
      <c r="AI46" s="536">
        <f>$C$48/1000</f>
        <v>2.1999999999999999E-2</v>
      </c>
      <c r="AJ46" s="537" t="s">
        <v>2160</v>
      </c>
      <c r="AK46" s="538">
        <f>$G$48/1000</f>
        <v>0.16500000000000001</v>
      </c>
      <c r="AL46" s="536">
        <f>$C$48/1000</f>
        <v>2.1999999999999999E-2</v>
      </c>
      <c r="AM46" s="537" t="s">
        <v>2160</v>
      </c>
      <c r="AN46" s="538">
        <f>$G$48/1000</f>
        <v>0.16500000000000001</v>
      </c>
      <c r="AO46" s="536">
        <f>$C$48/1000</f>
        <v>2.1999999999999999E-2</v>
      </c>
      <c r="AP46" s="537" t="s">
        <v>2160</v>
      </c>
      <c r="AQ46" s="538">
        <f>$G$48/1000</f>
        <v>0.16500000000000001</v>
      </c>
    </row>
    <row r="47" spans="1:81" s="433" customFormat="1" ht="16.5" hidden="1" customHeight="1" x14ac:dyDescent="0.25">
      <c r="A47" s="1359"/>
      <c r="B47" s="539" t="s">
        <v>2161</v>
      </c>
      <c r="C47" s="540"/>
      <c r="D47" s="540" t="s">
        <v>2162</v>
      </c>
      <c r="E47" s="540"/>
      <c r="F47" s="540"/>
      <c r="G47" s="557"/>
      <c r="H47" s="542">
        <f>((I10^2+J10^2)*$G$49/1000)/$C$15*$C$9</f>
        <v>1.4189372016528372</v>
      </c>
      <c r="I47" s="543" t="s">
        <v>2160</v>
      </c>
      <c r="J47" s="544">
        <f>((I10^2+J10^2)*$J$49)/(100*$C$15)</f>
        <v>4.9450544734269575E-2</v>
      </c>
      <c r="K47" s="542">
        <f>((L10^2+M10^2)*$G$49/1000)/$C$15*$C$9</f>
        <v>2.0055203712793102</v>
      </c>
      <c r="L47" s="543" t="s">
        <v>2160</v>
      </c>
      <c r="M47" s="544">
        <f>((L10^2+M10^2)*$J$49)/(100*$C$15)</f>
        <v>6.9893209311810506E-2</v>
      </c>
      <c r="N47" s="542">
        <f>((O10^2+P10^2)*$G$49/1000)/$C$15*$C$9</f>
        <v>2.0122837449926902</v>
      </c>
      <c r="O47" s="543" t="s">
        <v>2160</v>
      </c>
      <c r="P47" s="544">
        <f>((O10^2+P10^2)*$J$49)/(100*$C$15)</f>
        <v>7.0128915665818636E-2</v>
      </c>
      <c r="Q47" s="542">
        <f>((R10^2+S10^2)*$G$49/1000)/$C$15*$C$9</f>
        <v>1.8179507736537412</v>
      </c>
      <c r="R47" s="543" t="s">
        <v>2160</v>
      </c>
      <c r="S47" s="544">
        <f>((R10^2+S10^2)*$J$49)/(100*$C$15)</f>
        <v>6.3356331733741694E-2</v>
      </c>
      <c r="T47" s="542">
        <f>((U10^2+V10^2)*$G$49/1000)/$C$15*$C$9</f>
        <v>1.1522146704822362</v>
      </c>
      <c r="U47" s="543" t="s">
        <v>2160</v>
      </c>
      <c r="V47" s="544">
        <f>((U10^2+V10^2)*$J$49)/(100*$C$15)</f>
        <v>4.015515488620184E-2</v>
      </c>
      <c r="W47" s="542">
        <f>((X10^2+Y10^2)*$G$49/1000)/$C$15*$C$9</f>
        <v>1.0141944508484222</v>
      </c>
      <c r="X47" s="543" t="s">
        <v>2160</v>
      </c>
      <c r="Y47" s="544">
        <f>((X10^2+Y10^2)*$J$49)/(100*$C$15)</f>
        <v>3.5345093498505904E-2</v>
      </c>
      <c r="Z47" s="542">
        <f>((AA10^2+AB10^2)*$G$49/1000)/$C$15*$C$9</f>
        <v>1.1780201390885003</v>
      </c>
      <c r="AA47" s="543" t="s">
        <v>2160</v>
      </c>
      <c r="AB47" s="544">
        <f>((AA10^2+AB10^2)*$J$49)/(100*$C$15)</f>
        <v>4.1054486074514056E-2</v>
      </c>
      <c r="AC47" s="542">
        <f>((AD10^2+AE10^2)*$G$49/1000)/$C$15*$C$9</f>
        <v>1.654283663205407</v>
      </c>
      <c r="AD47" s="543" t="s">
        <v>2160</v>
      </c>
      <c r="AE47" s="544">
        <f>((AD10^2+AE10^2)*$J$49)/(100*$C$15)</f>
        <v>5.7652465658959526E-2</v>
      </c>
      <c r="AF47" s="542">
        <f>((AG10^2+AH10^2)*$G$49/1000)/$C$15*$C$9</f>
        <v>1.4847841869214993</v>
      </c>
      <c r="AG47" s="543" t="s">
        <v>2160</v>
      </c>
      <c r="AH47" s="544">
        <f>((AG10^2+AH10^2)*$J$49)/(100*$C$15)</f>
        <v>5.174533923740321E-2</v>
      </c>
      <c r="AI47" s="542">
        <f>((AJ10^2+AK10^2)*$G$49/1000)/$C$15*$C$9</f>
        <v>1.5338260159269332</v>
      </c>
      <c r="AJ47" s="543" t="s">
        <v>2160</v>
      </c>
      <c r="AK47" s="544">
        <f>((AJ10^2+AK10^2)*$J$49)/(100*$C$15)</f>
        <v>5.3454467136973889E-2</v>
      </c>
      <c r="AL47" s="542">
        <f>((AM10^2+AN10^2)*$G$49/1000)/$C$15*$C$9</f>
        <v>0.98419255103532788</v>
      </c>
      <c r="AM47" s="543" t="s">
        <v>2160</v>
      </c>
      <c r="AN47" s="544">
        <f>((AM10^2+AN10^2)*$J$49)/(100*$C$15)</f>
        <v>3.4299514957685122E-2</v>
      </c>
      <c r="AO47" s="542">
        <f>((AP10^2+AQ10^2)*$G$49/1000)/$C$15*$C$9</f>
        <v>1.4268196365893</v>
      </c>
      <c r="AP47" s="543" t="s">
        <v>2160</v>
      </c>
      <c r="AQ47" s="544">
        <f>((AP10^2+AQ10^2)*$J$49)/(100*$C$15)</f>
        <v>4.9725250831894247E-2</v>
      </c>
    </row>
    <row r="48" spans="1:81" s="433" customFormat="1" ht="16.5" hidden="1" customHeight="1" x14ac:dyDescent="0.25">
      <c r="A48" s="1359"/>
      <c r="B48" s="545" t="s">
        <v>2163</v>
      </c>
      <c r="C48" s="558">
        <v>22</v>
      </c>
      <c r="D48" s="547"/>
      <c r="E48" s="1361" t="s">
        <v>2164</v>
      </c>
      <c r="F48" s="1361"/>
      <c r="G48" s="559">
        <v>165</v>
      </c>
      <c r="H48" s="549"/>
      <c r="I48" s="550"/>
      <c r="J48" s="560"/>
      <c r="K48" s="1349"/>
      <c r="L48" s="1350"/>
      <c r="M48" s="1351"/>
      <c r="N48" s="1349"/>
      <c r="O48" s="1350"/>
      <c r="P48" s="1351"/>
      <c r="Q48" s="1349"/>
      <c r="R48" s="1350"/>
      <c r="S48" s="1351"/>
      <c r="T48" s="1349"/>
      <c r="U48" s="1350"/>
      <c r="V48" s="1351"/>
      <c r="W48" s="1349"/>
      <c r="X48" s="1350"/>
      <c r="Y48" s="1351"/>
      <c r="Z48" s="1349"/>
      <c r="AA48" s="1350"/>
      <c r="AB48" s="1351"/>
      <c r="AC48" s="1349"/>
      <c r="AD48" s="1350"/>
      <c r="AE48" s="1351"/>
      <c r="AF48" s="1349"/>
      <c r="AG48" s="1350"/>
      <c r="AH48" s="1351"/>
      <c r="AI48" s="1349"/>
      <c r="AJ48" s="1350"/>
      <c r="AK48" s="1351"/>
      <c r="AL48" s="1349"/>
      <c r="AM48" s="1350"/>
      <c r="AN48" s="1351"/>
      <c r="AO48" s="1349"/>
      <c r="AP48" s="1350"/>
      <c r="AQ48" s="1351"/>
    </row>
    <row r="49" spans="1:81" s="433" customFormat="1" ht="16.5" hidden="1" customHeight="1" x14ac:dyDescent="0.25">
      <c r="A49" s="1359"/>
      <c r="B49" s="561"/>
      <c r="C49" s="532"/>
      <c r="D49" s="438"/>
      <c r="E49" s="552"/>
      <c r="F49" s="552" t="s">
        <v>2165</v>
      </c>
      <c r="G49" s="562">
        <v>117.99</v>
      </c>
      <c r="H49" s="1438" t="s">
        <v>2166</v>
      </c>
      <c r="I49" s="1439"/>
      <c r="J49" s="553">
        <v>10.28</v>
      </c>
      <c r="K49" s="1352"/>
      <c r="L49" s="1353"/>
      <c r="M49" s="1354"/>
      <c r="N49" s="1352"/>
      <c r="O49" s="1353"/>
      <c r="P49" s="1354"/>
      <c r="Q49" s="1352"/>
      <c r="R49" s="1353"/>
      <c r="S49" s="1354"/>
      <c r="T49" s="1352"/>
      <c r="U49" s="1353"/>
      <c r="V49" s="1354"/>
      <c r="W49" s="1352"/>
      <c r="X49" s="1353"/>
      <c r="Y49" s="1354"/>
      <c r="Z49" s="1352"/>
      <c r="AA49" s="1353"/>
      <c r="AB49" s="1354"/>
      <c r="AC49" s="1352"/>
      <c r="AD49" s="1353"/>
      <c r="AE49" s="1354"/>
      <c r="AF49" s="1352"/>
      <c r="AG49" s="1353"/>
      <c r="AH49" s="1354"/>
      <c r="AI49" s="1352"/>
      <c r="AJ49" s="1353"/>
      <c r="AK49" s="1354"/>
      <c r="AL49" s="1352"/>
      <c r="AM49" s="1353"/>
      <c r="AN49" s="1354"/>
      <c r="AO49" s="1352"/>
      <c r="AP49" s="1353"/>
      <c r="AQ49" s="1354"/>
    </row>
    <row r="50" spans="1:81" s="566" customFormat="1" ht="16.5" hidden="1" customHeight="1" x14ac:dyDescent="0.25">
      <c r="A50" s="1360"/>
      <c r="B50" s="1355" t="s">
        <v>2167</v>
      </c>
      <c r="C50" s="1356"/>
      <c r="D50" s="1356"/>
      <c r="E50" s="1356"/>
      <c r="F50" s="1356"/>
      <c r="G50" s="1357"/>
      <c r="H50" s="563">
        <f>I15</f>
        <v>2.9550000000000001</v>
      </c>
      <c r="I50" s="564" t="s">
        <v>2160</v>
      </c>
      <c r="J50" s="565">
        <f>J15</f>
        <v>2.1845655239679025</v>
      </c>
      <c r="K50" s="563">
        <f>L15</f>
        <v>2.95</v>
      </c>
      <c r="L50" s="564" t="s">
        <v>2160</v>
      </c>
      <c r="M50" s="565">
        <f>M15</f>
        <v>2.1796762439679025</v>
      </c>
      <c r="N50" s="563">
        <f>O15</f>
        <v>2.9430000000000001</v>
      </c>
      <c r="O50" s="564" t="s">
        <v>2160</v>
      </c>
      <c r="P50" s="565">
        <f>P15</f>
        <v>2.1849729639679025</v>
      </c>
      <c r="Q50" s="563">
        <f>R15</f>
        <v>2.968</v>
      </c>
      <c r="R50" s="564" t="s">
        <v>2160</v>
      </c>
      <c r="S50" s="565">
        <f>S15</f>
        <v>2.1536000839679024</v>
      </c>
      <c r="T50" s="563">
        <f>U15</f>
        <v>2.9449999999999998</v>
      </c>
      <c r="U50" s="564" t="s">
        <v>2160</v>
      </c>
      <c r="V50" s="565">
        <f>V15</f>
        <v>2.0179225639679026</v>
      </c>
      <c r="W50" s="563">
        <f>X15</f>
        <v>3.04</v>
      </c>
      <c r="X50" s="564" t="s">
        <v>2160</v>
      </c>
      <c r="Y50" s="565">
        <f>Y15</f>
        <v>2.0742770399999997</v>
      </c>
      <c r="Z50" s="563">
        <f>AA15</f>
        <v>3.14</v>
      </c>
      <c r="AA50" s="564" t="s">
        <v>2160</v>
      </c>
      <c r="AB50" s="565">
        <f>AB15</f>
        <v>2.2652386439679026</v>
      </c>
      <c r="AC50" s="563">
        <f>AD15</f>
        <v>3.133</v>
      </c>
      <c r="AD50" s="564" t="s">
        <v>2160</v>
      </c>
      <c r="AE50" s="565">
        <f>AE15</f>
        <v>2.2346806439679021</v>
      </c>
      <c r="AF50" s="563">
        <f>AG15</f>
        <v>3.117</v>
      </c>
      <c r="AG50" s="564" t="s">
        <v>2160</v>
      </c>
      <c r="AH50" s="565">
        <f>AH15</f>
        <v>2.1849729639679025</v>
      </c>
      <c r="AI50" s="563">
        <f>AJ15</f>
        <v>3.089</v>
      </c>
      <c r="AJ50" s="564" t="s">
        <v>2160</v>
      </c>
      <c r="AK50" s="565">
        <f>AK15</f>
        <v>2.1849729639679025</v>
      </c>
      <c r="AL50" s="563">
        <f>AM15</f>
        <v>2.9860000000000002</v>
      </c>
      <c r="AM50" s="564" t="s">
        <v>2160</v>
      </c>
      <c r="AN50" s="565">
        <f>AN15</f>
        <v>2.139747123967902</v>
      </c>
      <c r="AO50" s="563">
        <f>AP15</f>
        <v>3.0249999999999999</v>
      </c>
      <c r="AP50" s="564" t="s">
        <v>2160</v>
      </c>
      <c r="AQ50" s="565">
        <f>AQ15</f>
        <v>2.1541352799999998</v>
      </c>
      <c r="CC50" s="567"/>
    </row>
    <row r="51" spans="1:81" s="433" customFormat="1" ht="16.5" hidden="1" customHeight="1" x14ac:dyDescent="0.25">
      <c r="A51" s="1346" t="s">
        <v>2168</v>
      </c>
      <c r="B51" s="1347"/>
      <c r="C51" s="1347"/>
      <c r="D51" s="1347"/>
      <c r="E51" s="1347"/>
      <c r="F51" s="1347"/>
      <c r="G51" s="1348"/>
      <c r="H51" s="568"/>
      <c r="I51" s="569"/>
      <c r="J51" s="551"/>
      <c r="K51" s="568"/>
      <c r="L51" s="569"/>
      <c r="M51" s="551"/>
      <c r="N51" s="568"/>
      <c r="O51" s="569"/>
      <c r="P51" s="551"/>
      <c r="Q51" s="568"/>
      <c r="R51" s="569"/>
      <c r="S51" s="551"/>
      <c r="T51" s="568"/>
      <c r="U51" s="569"/>
      <c r="V51" s="551"/>
      <c r="W51" s="568"/>
      <c r="X51" s="569"/>
      <c r="Y51" s="551"/>
      <c r="Z51" s="568"/>
      <c r="AA51" s="569"/>
      <c r="AB51" s="551"/>
      <c r="AC51" s="568"/>
      <c r="AD51" s="569"/>
      <c r="AE51" s="551"/>
      <c r="AF51" s="568"/>
      <c r="AG51" s="569"/>
      <c r="AH51" s="551"/>
      <c r="AI51" s="568"/>
      <c r="AJ51" s="569"/>
      <c r="AK51" s="551"/>
      <c r="AL51" s="568"/>
      <c r="AM51" s="569"/>
      <c r="AN51" s="551"/>
      <c r="AO51" s="568"/>
      <c r="AP51" s="569"/>
      <c r="AQ51" s="551"/>
    </row>
    <row r="52" spans="1:81" s="433" customFormat="1" ht="16.5" hidden="1" customHeight="1" x14ac:dyDescent="0.25">
      <c r="A52" s="570" t="s">
        <v>2169</v>
      </c>
      <c r="B52" s="571"/>
      <c r="C52" s="572"/>
      <c r="D52" s="571"/>
      <c r="E52" s="473"/>
      <c r="F52" s="571" t="s">
        <v>2170</v>
      </c>
      <c r="G52" s="472"/>
      <c r="H52" s="573">
        <f>SUM(H45,H50)</f>
        <v>5.819</v>
      </c>
      <c r="I52" s="574" t="s">
        <v>2160</v>
      </c>
      <c r="J52" s="575">
        <f>SUM(J45,J50)</f>
        <v>4.2174356119037082</v>
      </c>
      <c r="K52" s="573">
        <f>SUM(K45,K50)</f>
        <v>6.3179999999999996</v>
      </c>
      <c r="L52" s="574" t="s">
        <v>2160</v>
      </c>
      <c r="M52" s="575">
        <f>SUM(M45,M50)</f>
        <v>4.6246059852237646</v>
      </c>
      <c r="N52" s="573">
        <f>SUM(N45,N50)</f>
        <v>6.4329999999999998</v>
      </c>
      <c r="O52" s="574" t="s">
        <v>2160</v>
      </c>
      <c r="P52" s="575">
        <f>SUM(P45,P50)</f>
        <v>4.4422389077753186</v>
      </c>
      <c r="Q52" s="573">
        <f>SUM(Q45,Q50)</f>
        <v>6.0209999999999999</v>
      </c>
      <c r="R52" s="574" t="s">
        <v>2160</v>
      </c>
      <c r="S52" s="575">
        <f>SUM(S45,S50)</f>
        <v>4.7047338519037076</v>
      </c>
      <c r="T52" s="573">
        <f>SUM(T45,T50)</f>
        <v>5.657</v>
      </c>
      <c r="U52" s="574" t="s">
        <v>2160</v>
      </c>
      <c r="V52" s="575">
        <f>SUM(V45,V50)</f>
        <v>3.5734490717432212</v>
      </c>
      <c r="W52" s="573">
        <f>SUM(W45,W50)</f>
        <v>5.5760000000000005</v>
      </c>
      <c r="X52" s="574" t="s">
        <v>2160</v>
      </c>
      <c r="Y52" s="575">
        <f>SUM(Y45,Y50)</f>
        <v>3.5853684158716104</v>
      </c>
      <c r="Z52" s="573">
        <f>SUM(Z45,Z50)</f>
        <v>5.7140000000000004</v>
      </c>
      <c r="AA52" s="574" t="s">
        <v>2160</v>
      </c>
      <c r="AB52" s="575">
        <f>SUM(AB45,AB50)</f>
        <v>4.1652832919037079</v>
      </c>
      <c r="AC52" s="573">
        <f>SUM(AC45,AC50)</f>
        <v>6.4009999999999998</v>
      </c>
      <c r="AD52" s="574" t="s">
        <v>2160</v>
      </c>
      <c r="AE52" s="575">
        <f>SUM(AE45,AE50)</f>
        <v>4.1008041877753181</v>
      </c>
      <c r="AF52" s="573">
        <f>SUM(AF45,AF50)</f>
        <v>5.9266000000000005</v>
      </c>
      <c r="AG52" s="574" t="s">
        <v>2160</v>
      </c>
      <c r="AH52" s="575">
        <f>SUM(AH45,AH50)</f>
        <v>4.4171053838074155</v>
      </c>
      <c r="AI52" s="573">
        <f>SUM(AI45,AI50)</f>
        <v>6.0110000000000001</v>
      </c>
      <c r="AJ52" s="574" t="s">
        <v>2160</v>
      </c>
      <c r="AK52" s="575">
        <f>SUM(AK45,AK50)</f>
        <v>4.3314152277753184</v>
      </c>
      <c r="AL52" s="573">
        <f>SUM(AL45,AL50)</f>
        <v>5.3629999999999995</v>
      </c>
      <c r="AM52" s="574" t="s">
        <v>2160</v>
      </c>
      <c r="AN52" s="575">
        <f>SUM(AN45,AN50)</f>
        <v>3.8286100958716101</v>
      </c>
      <c r="AO52" s="573">
        <f>SUM(AO45,AO50)</f>
        <v>5.8979999999999997</v>
      </c>
      <c r="AP52" s="574" t="s">
        <v>2160</v>
      </c>
      <c r="AQ52" s="575">
        <f>SUM(AQ45,AQ50)</f>
        <v>4.1441205838074158</v>
      </c>
    </row>
    <row r="53" spans="1:81" s="433" customFormat="1" ht="16.5" hidden="1" customHeight="1" x14ac:dyDescent="0.25">
      <c r="A53" s="576" t="s">
        <v>2171</v>
      </c>
      <c r="B53" s="566"/>
      <c r="C53" s="566"/>
      <c r="D53" s="566"/>
      <c r="E53" s="566"/>
      <c r="F53" s="566"/>
      <c r="G53" s="566"/>
      <c r="H53" s="566"/>
      <c r="I53" s="577">
        <f>J52/H52</f>
        <v>0.72476982503930365</v>
      </c>
      <c r="J53" s="566"/>
      <c r="K53" s="566"/>
      <c r="L53" s="577">
        <f>M52/K52</f>
        <v>0.73197309041211855</v>
      </c>
      <c r="M53" s="566"/>
      <c r="N53" s="566"/>
      <c r="O53" s="577">
        <f>P52/N52</f>
        <v>0.69053923640219472</v>
      </c>
      <c r="P53" s="566"/>
      <c r="Q53" s="566"/>
      <c r="R53" s="577">
        <f>S52/Q52</f>
        <v>0.78138745256663478</v>
      </c>
      <c r="S53" s="566"/>
      <c r="T53" s="566"/>
      <c r="U53" s="577">
        <f>V52/T52</f>
        <v>0.6316862421324414</v>
      </c>
      <c r="V53" s="566"/>
      <c r="W53" s="566"/>
      <c r="X53" s="577">
        <f>Y52/W52</f>
        <v>0.64300007458242647</v>
      </c>
      <c r="Y53" s="566"/>
      <c r="Z53" s="566"/>
      <c r="AA53" s="577">
        <f>AB52/Z52</f>
        <v>0.7289610241343556</v>
      </c>
      <c r="AB53" s="566"/>
      <c r="AC53" s="566"/>
      <c r="AD53" s="577">
        <f>AE52/AC52</f>
        <v>0.64065055269103555</v>
      </c>
      <c r="AE53" s="566"/>
      <c r="AF53" s="566"/>
      <c r="AG53" s="577">
        <f>AH52/AF52</f>
        <v>0.74530175544281962</v>
      </c>
      <c r="AH53" s="566"/>
      <c r="AI53" s="566"/>
      <c r="AJ53" s="577">
        <f>AK52/AI52</f>
        <v>0.72058147193068012</v>
      </c>
      <c r="AK53" s="566"/>
      <c r="AL53" s="566"/>
      <c r="AM53" s="577">
        <f>AN52/AL52</f>
        <v>0.71389336115450497</v>
      </c>
      <c r="AN53" s="566"/>
      <c r="AO53" s="566"/>
      <c r="AP53" s="577">
        <f>AQ52/AO52</f>
        <v>0.70263149945870063</v>
      </c>
      <c r="AQ53" s="566"/>
    </row>
    <row r="54" spans="1:81" s="578" customFormat="1" ht="16.5" hidden="1" customHeight="1" x14ac:dyDescent="0.25">
      <c r="A54" s="576" t="s">
        <v>2172</v>
      </c>
      <c r="C54" s="576"/>
      <c r="D54" s="576"/>
      <c r="E54" s="576"/>
      <c r="F54" s="576"/>
      <c r="T54" s="579"/>
      <c r="U54" s="580"/>
    </row>
    <row r="55" spans="1:81" s="581" customFormat="1" ht="30" customHeight="1" thickBot="1" x14ac:dyDescent="0.3">
      <c r="H55" s="582"/>
      <c r="I55" s="578"/>
      <c r="J55" s="578"/>
      <c r="K55" s="582"/>
      <c r="L55" s="578"/>
      <c r="M55" s="578"/>
      <c r="N55" s="582"/>
      <c r="O55" s="578"/>
      <c r="P55" s="578"/>
      <c r="Q55" s="582"/>
      <c r="R55" s="578"/>
      <c r="S55" s="578"/>
      <c r="T55" s="582"/>
      <c r="U55" s="578"/>
      <c r="V55" s="578"/>
      <c r="W55" s="582"/>
      <c r="X55" s="578"/>
      <c r="Y55" s="578"/>
      <c r="Z55" s="582"/>
      <c r="AA55" s="578"/>
      <c r="AB55" s="578"/>
      <c r="AC55" s="582"/>
      <c r="AD55" s="578"/>
      <c r="AE55" s="578"/>
      <c r="AF55" s="582"/>
      <c r="AG55" s="578"/>
      <c r="AH55" s="578"/>
      <c r="AI55" s="582"/>
      <c r="AJ55" s="578"/>
      <c r="AK55" s="578"/>
      <c r="AL55" s="582"/>
      <c r="AM55" s="578"/>
      <c r="AN55" s="578"/>
      <c r="AO55" s="582"/>
      <c r="AP55" s="578"/>
      <c r="AQ55" s="578"/>
      <c r="AS55" s="583"/>
      <c r="AV55" s="583"/>
      <c r="AY55" s="583"/>
      <c r="BB55" s="583"/>
      <c r="BE55" s="583"/>
      <c r="BH55" s="583"/>
      <c r="BK55" s="583"/>
      <c r="BN55" s="583"/>
      <c r="BQ55" s="583"/>
      <c r="BT55" s="583"/>
      <c r="BW55" s="583"/>
      <c r="BZ55" s="583"/>
    </row>
    <row r="56" spans="1:81" s="581" customFormat="1" ht="17.25" thickBot="1" x14ac:dyDescent="0.3">
      <c r="A56" s="1435" t="s">
        <v>2</v>
      </c>
      <c r="B56" s="1436"/>
      <c r="C56" s="1436"/>
      <c r="D56" s="1436"/>
      <c r="E56" s="1436"/>
      <c r="F56" s="1436"/>
      <c r="G56" s="1437"/>
      <c r="H56" s="1420" t="s">
        <v>112</v>
      </c>
      <c r="I56" s="1421"/>
      <c r="J56" s="1422"/>
      <c r="K56" s="1420" t="s">
        <v>113</v>
      </c>
      <c r="L56" s="1421"/>
      <c r="M56" s="1422"/>
      <c r="N56" s="1420" t="s">
        <v>114</v>
      </c>
      <c r="O56" s="1421"/>
      <c r="P56" s="1422"/>
      <c r="Q56" s="1420" t="s">
        <v>115</v>
      </c>
      <c r="R56" s="1421"/>
      <c r="S56" s="1422"/>
      <c r="T56" s="1420" t="s">
        <v>116</v>
      </c>
      <c r="U56" s="1421"/>
      <c r="V56" s="1422"/>
      <c r="W56" s="1420" t="s">
        <v>117</v>
      </c>
      <c r="X56" s="1421"/>
      <c r="Y56" s="1422"/>
      <c r="Z56" s="1420" t="s">
        <v>118</v>
      </c>
      <c r="AA56" s="1421"/>
      <c r="AB56" s="1422"/>
      <c r="AC56" s="1420" t="s">
        <v>119</v>
      </c>
      <c r="AD56" s="1421"/>
      <c r="AE56" s="1422"/>
      <c r="AF56" s="1420" t="s">
        <v>120</v>
      </c>
      <c r="AG56" s="1421"/>
      <c r="AH56" s="1422"/>
      <c r="AI56" s="1420" t="s">
        <v>121</v>
      </c>
      <c r="AJ56" s="1421"/>
      <c r="AK56" s="1422"/>
      <c r="AL56" s="1420" t="s">
        <v>122</v>
      </c>
      <c r="AM56" s="1421"/>
      <c r="AN56" s="1422"/>
      <c r="AO56" s="1420" t="s">
        <v>5</v>
      </c>
      <c r="AP56" s="1421"/>
      <c r="AQ56" s="1422"/>
    </row>
    <row r="57" spans="1:81" s="581" customFormat="1" ht="16.5" x14ac:dyDescent="0.25">
      <c r="A57" s="1423" t="s">
        <v>2122</v>
      </c>
      <c r="B57" s="1424"/>
      <c r="C57" s="1427" t="s">
        <v>2123</v>
      </c>
      <c r="D57" s="1429"/>
      <c r="E57" s="1430"/>
      <c r="F57" s="1430"/>
      <c r="G57" s="1431"/>
      <c r="H57" s="447" t="s">
        <v>2124</v>
      </c>
      <c r="I57" s="448" t="s">
        <v>2125</v>
      </c>
      <c r="J57" s="449" t="s">
        <v>2126</v>
      </c>
      <c r="K57" s="447" t="s">
        <v>2124</v>
      </c>
      <c r="L57" s="448" t="s">
        <v>2125</v>
      </c>
      <c r="M57" s="449" t="s">
        <v>2126</v>
      </c>
      <c r="N57" s="447" t="s">
        <v>2124</v>
      </c>
      <c r="O57" s="448" t="s">
        <v>2125</v>
      </c>
      <c r="P57" s="449" t="s">
        <v>2126</v>
      </c>
      <c r="Q57" s="447" t="s">
        <v>2124</v>
      </c>
      <c r="R57" s="448" t="s">
        <v>2125</v>
      </c>
      <c r="S57" s="449" t="s">
        <v>2126</v>
      </c>
      <c r="T57" s="447" t="s">
        <v>2124</v>
      </c>
      <c r="U57" s="448" t="s">
        <v>2125</v>
      </c>
      <c r="V57" s="449" t="s">
        <v>2126</v>
      </c>
      <c r="W57" s="447" t="s">
        <v>2124</v>
      </c>
      <c r="X57" s="448" t="s">
        <v>2125</v>
      </c>
      <c r="Y57" s="449" t="s">
        <v>2126</v>
      </c>
      <c r="Z57" s="447" t="s">
        <v>2124</v>
      </c>
      <c r="AA57" s="448" t="s">
        <v>2125</v>
      </c>
      <c r="AB57" s="449" t="s">
        <v>2126</v>
      </c>
      <c r="AC57" s="447" t="s">
        <v>2124</v>
      </c>
      <c r="AD57" s="448" t="s">
        <v>2125</v>
      </c>
      <c r="AE57" s="449" t="s">
        <v>2126</v>
      </c>
      <c r="AF57" s="447" t="s">
        <v>2124</v>
      </c>
      <c r="AG57" s="448" t="s">
        <v>2125</v>
      </c>
      <c r="AH57" s="449" t="s">
        <v>2126</v>
      </c>
      <c r="AI57" s="447" t="s">
        <v>2124</v>
      </c>
      <c r="AJ57" s="448" t="s">
        <v>2125</v>
      </c>
      <c r="AK57" s="449" t="s">
        <v>2126</v>
      </c>
      <c r="AL57" s="447" t="s">
        <v>2124</v>
      </c>
      <c r="AM57" s="448" t="s">
        <v>2125</v>
      </c>
      <c r="AN57" s="449" t="s">
        <v>2126</v>
      </c>
      <c r="AO57" s="447" t="s">
        <v>2124</v>
      </c>
      <c r="AP57" s="448" t="s">
        <v>2125</v>
      </c>
      <c r="AQ57" s="449" t="s">
        <v>2126</v>
      </c>
      <c r="BN57" s="646"/>
      <c r="BO57" s="646"/>
      <c r="BP57" s="584">
        <v>0</v>
      </c>
      <c r="BQ57" s="584"/>
      <c r="BR57" s="646"/>
      <c r="BS57" s="646"/>
    </row>
    <row r="58" spans="1:81" ht="17.25" thickBot="1" x14ac:dyDescent="0.3">
      <c r="A58" s="1425"/>
      <c r="B58" s="1426"/>
      <c r="C58" s="1428"/>
      <c r="D58" s="1432"/>
      <c r="E58" s="1433"/>
      <c r="F58" s="1433"/>
      <c r="G58" s="1434"/>
      <c r="H58" s="450" t="s">
        <v>2127</v>
      </c>
      <c r="I58" s="451" t="s">
        <v>2128</v>
      </c>
      <c r="J58" s="452" t="s">
        <v>2129</v>
      </c>
      <c r="K58" s="450" t="s">
        <v>2127</v>
      </c>
      <c r="L58" s="451" t="s">
        <v>2128</v>
      </c>
      <c r="M58" s="452" t="s">
        <v>2129</v>
      </c>
      <c r="N58" s="450" t="s">
        <v>2127</v>
      </c>
      <c r="O58" s="451" t="s">
        <v>2128</v>
      </c>
      <c r="P58" s="452" t="s">
        <v>2129</v>
      </c>
      <c r="Q58" s="450" t="s">
        <v>2127</v>
      </c>
      <c r="R58" s="451" t="s">
        <v>2128</v>
      </c>
      <c r="S58" s="452" t="s">
        <v>2129</v>
      </c>
      <c r="T58" s="450" t="s">
        <v>2127</v>
      </c>
      <c r="U58" s="451" t="s">
        <v>2128</v>
      </c>
      <c r="V58" s="452" t="s">
        <v>2129</v>
      </c>
      <c r="W58" s="450" t="s">
        <v>2127</v>
      </c>
      <c r="X58" s="451" t="s">
        <v>2128</v>
      </c>
      <c r="Y58" s="452" t="s">
        <v>2129</v>
      </c>
      <c r="Z58" s="450" t="s">
        <v>2127</v>
      </c>
      <c r="AA58" s="451" t="s">
        <v>2128</v>
      </c>
      <c r="AB58" s="452" t="s">
        <v>2129</v>
      </c>
      <c r="AC58" s="450" t="s">
        <v>2127</v>
      </c>
      <c r="AD58" s="451" t="s">
        <v>2128</v>
      </c>
      <c r="AE58" s="452" t="s">
        <v>2129</v>
      </c>
      <c r="AF58" s="450" t="s">
        <v>2127</v>
      </c>
      <c r="AG58" s="451" t="s">
        <v>2128</v>
      </c>
      <c r="AH58" s="452" t="s">
        <v>2129</v>
      </c>
      <c r="AI58" s="450" t="s">
        <v>2127</v>
      </c>
      <c r="AJ58" s="451" t="s">
        <v>2128</v>
      </c>
      <c r="AK58" s="452" t="s">
        <v>2129</v>
      </c>
      <c r="AL58" s="450" t="s">
        <v>2127</v>
      </c>
      <c r="AM58" s="451" t="s">
        <v>2128</v>
      </c>
      <c r="AN58" s="452" t="s">
        <v>2129</v>
      </c>
      <c r="AO58" s="450" t="s">
        <v>2127</v>
      </c>
      <c r="AP58" s="451" t="s">
        <v>2128</v>
      </c>
      <c r="AQ58" s="452" t="s">
        <v>2129</v>
      </c>
      <c r="BN58" s="646"/>
      <c r="BO58" s="646"/>
      <c r="BP58" s="584">
        <v>0</v>
      </c>
      <c r="BR58" s="646"/>
      <c r="BS58" s="646"/>
    </row>
    <row r="59" spans="1:81" ht="16.5" x14ac:dyDescent="0.25">
      <c r="A59" s="1411" t="s">
        <v>12</v>
      </c>
      <c r="B59" s="1390"/>
      <c r="C59" s="1358">
        <v>25</v>
      </c>
      <c r="D59" s="1414" t="s">
        <v>13</v>
      </c>
      <c r="E59" s="1415"/>
      <c r="F59" s="1394" t="s">
        <v>44</v>
      </c>
      <c r="G59" s="1395"/>
      <c r="H59" s="453">
        <f>SQRT(I59^2+J59^2)*1000/(1.73*H62)</f>
        <v>17.67421937146214</v>
      </c>
      <c r="I59" s="454">
        <v>2.8370000000000002</v>
      </c>
      <c r="J59" s="455">
        <v>2.1287704158716112</v>
      </c>
      <c r="K59" s="453">
        <f>SQRT(L59^2+M59^2)*1000/(1.73*K62)</f>
        <v>18.066929485915608</v>
      </c>
      <c r="L59" s="454">
        <v>2.8889999999999998</v>
      </c>
      <c r="M59" s="455">
        <v>2.1907012958716106</v>
      </c>
      <c r="N59" s="453">
        <f>SQRT(O59^2+P59^2)*1000/(1.73*N62)</f>
        <v>17.516739522649338</v>
      </c>
      <c r="O59" s="454">
        <v>2.847</v>
      </c>
      <c r="P59" s="455">
        <v>2.0619502558716105</v>
      </c>
      <c r="Q59" s="453">
        <f>SQRT(R59^2+S59^2)*1000/(1.73*Q62)</f>
        <v>19.821443419814926</v>
      </c>
      <c r="R59" s="454">
        <v>3.2559999999999998</v>
      </c>
      <c r="S59" s="455">
        <v>2.2849718638074163</v>
      </c>
      <c r="T59" s="453">
        <f>SQRT(U59^2+V59^2)*1000/(1.73*T62)</f>
        <v>17.082779127455854</v>
      </c>
      <c r="U59" s="454">
        <v>2.903</v>
      </c>
      <c r="V59" s="455">
        <v>1.8234459279358053</v>
      </c>
      <c r="W59" s="453">
        <f>SQRT(X59^2+Y59^2)*1000/(1.73*W62)</f>
        <v>18.90822166551683</v>
      </c>
      <c r="X59" s="454">
        <v>3.32</v>
      </c>
      <c r="Y59" s="455">
        <v>1.8373472317432216</v>
      </c>
      <c r="Z59" s="453">
        <f>SQRT(AA59^2+AB59^2)*1000/(1.73*Z62)</f>
        <v>15.333396152351716</v>
      </c>
      <c r="AA59" s="454">
        <v>2.649</v>
      </c>
      <c r="AB59" s="455">
        <v>1.5656883358716107</v>
      </c>
      <c r="AC59" s="453">
        <f>SQRT(AD59^2+AE59^2)*1000/(1.73*AC62)</f>
        <v>17.18357919555805</v>
      </c>
      <c r="AD59" s="454">
        <v>2.7749999999999999</v>
      </c>
      <c r="AE59" s="455">
        <v>2.0471546598395136</v>
      </c>
      <c r="AF59" s="453">
        <f>SQRT(AG59^2+AH59^2)*1000/(1.73*AF62)</f>
        <v>16.239692399905195</v>
      </c>
      <c r="AG59" s="454">
        <v>2.7229999999999999</v>
      </c>
      <c r="AH59" s="455">
        <v>1.7905952158716107</v>
      </c>
      <c r="AI59" s="453">
        <f>SQRT(AJ59^2+AK59^2)*1000/(1.73*AI62)</f>
        <v>16.975309472530888</v>
      </c>
      <c r="AJ59" s="454">
        <v>2.7959999999999998</v>
      </c>
      <c r="AK59" s="455">
        <v>1.9461095398395134</v>
      </c>
      <c r="AL59" s="453">
        <f>SQRT(AM59^2+AN59^2)*1000/(1.73*AL62)</f>
        <v>13.559209579818022</v>
      </c>
      <c r="AM59" s="454">
        <v>2.258</v>
      </c>
      <c r="AN59" s="455">
        <v>1.5184252958716109</v>
      </c>
      <c r="AO59" s="453">
        <f>SQRT(AP59^2+AQ59^2)*1000/(1.73*AO62)</f>
        <v>13.32759715875639</v>
      </c>
      <c r="AP59" s="454">
        <v>2.169</v>
      </c>
      <c r="AQ59" s="455">
        <v>1.5648734558716106</v>
      </c>
      <c r="BN59" s="646"/>
      <c r="BO59" s="646"/>
      <c r="BP59" s="584">
        <v>0</v>
      </c>
      <c r="BR59" s="646"/>
      <c r="BS59" s="646"/>
    </row>
    <row r="60" spans="1:81" ht="17.25" thickBot="1" x14ac:dyDescent="0.3">
      <c r="A60" s="1412"/>
      <c r="B60" s="1413"/>
      <c r="C60" s="1359"/>
      <c r="D60" s="1416"/>
      <c r="E60" s="1417"/>
      <c r="F60" s="1396" t="s">
        <v>46</v>
      </c>
      <c r="G60" s="1397"/>
      <c r="H60" s="457">
        <f>SQRT(I60^2+J60^2)*1000/(1.73*H63)</f>
        <v>193.47630944442426</v>
      </c>
      <c r="I60" s="458">
        <v>2.8256000000000001</v>
      </c>
      <c r="J60" s="459">
        <v>2.0898983073548116</v>
      </c>
      <c r="K60" s="457">
        <f>SQRT(L60^2+M60^2)*1000/(1.73*K63)</f>
        <v>197.73538277366143</v>
      </c>
      <c r="L60" s="458">
        <v>2.8768000000000002</v>
      </c>
      <c r="M60" s="459">
        <v>2.1506983073548112</v>
      </c>
      <c r="N60" s="457">
        <f>SQRT(O60^2+P60^2)*1000/(1.73*N63)</f>
        <v>191.78071550055483</v>
      </c>
      <c r="O60" s="458">
        <v>2.8351999999999999</v>
      </c>
      <c r="P60" s="459">
        <v>2.0242983073548113</v>
      </c>
      <c r="Q60" s="457">
        <f>SQRT(R60^2+S60^2)*1000/(1.73*Q63)</f>
        <v>217.59588872822206</v>
      </c>
      <c r="R60" s="458">
        <v>3.2544000000000004</v>
      </c>
      <c r="S60" s="459">
        <v>2.2432474610322171</v>
      </c>
      <c r="T60" s="457">
        <f>SQRT(U60^2+V60^2)*1000/(1.73*T63)</f>
        <v>186.41716275673201</v>
      </c>
      <c r="U60" s="458">
        <v>2.8744000000000001</v>
      </c>
      <c r="V60" s="459">
        <v>1.7901491536774057</v>
      </c>
      <c r="W60" s="457">
        <f>SQRT(X60^2+Y60^2)*1000/(1.73*W63)</f>
        <v>208.62220850550804</v>
      </c>
      <c r="X60" s="458">
        <v>3.3328000000000002</v>
      </c>
      <c r="Y60" s="459">
        <v>1.8037966147096227</v>
      </c>
      <c r="Z60" s="457">
        <f>SQRT(AA60^2+AB60^2)*1000/(1.73*Z63)</f>
        <v>168.17377522962715</v>
      </c>
      <c r="AA60" s="458">
        <v>2.64</v>
      </c>
      <c r="AB60" s="459">
        <v>1.5370983073548112</v>
      </c>
      <c r="AC60" s="457">
        <f>SQRT(AD60^2+AE60^2)*1000/(1.73*AC63)</f>
        <v>188.52515117413708</v>
      </c>
      <c r="AD60" s="458">
        <v>2.7728000000000002</v>
      </c>
      <c r="AE60" s="459">
        <v>2.0097728841935143</v>
      </c>
      <c r="AF60" s="457">
        <f>SQRT(AG60^2+AH60^2)*1000/(1.73*AF63)</f>
        <v>177.95580168378726</v>
      </c>
      <c r="AG60" s="458">
        <v>2.7128000000000001</v>
      </c>
      <c r="AH60" s="459">
        <v>1.7578983073548113</v>
      </c>
      <c r="AI60" s="457">
        <f>SQRT(AJ60^2+AK60^2)*1000/(1.73*AI63)</f>
        <v>186.280644369345</v>
      </c>
      <c r="AJ60" s="458">
        <v>2.7927999999999997</v>
      </c>
      <c r="AK60" s="459">
        <v>1.9105728841935141</v>
      </c>
      <c r="AL60" s="457">
        <f>SQRT(AM60^2+AN60^2)*1000/(1.73*AL63)</f>
        <v>148.82198419886416</v>
      </c>
      <c r="AM60" s="458">
        <v>2.2552000000000003</v>
      </c>
      <c r="AN60" s="459">
        <v>1.4906983073548115</v>
      </c>
      <c r="AO60" s="457">
        <f>SQRT(AP60^2+AQ60^2)*1000/(1.73*AO63)</f>
        <v>146.24252670947322</v>
      </c>
      <c r="AP60" s="458">
        <v>2.1672000000000002</v>
      </c>
      <c r="AQ60" s="459">
        <v>1.5362983073548113</v>
      </c>
      <c r="AR60" s="456"/>
      <c r="AS60" s="456"/>
      <c r="BN60" s="646"/>
      <c r="BO60" s="646"/>
      <c r="BP60" s="584">
        <v>0</v>
      </c>
      <c r="BR60" s="646"/>
      <c r="BS60" s="646"/>
    </row>
    <row r="61" spans="1:81" ht="17.25" thickBot="1" x14ac:dyDescent="0.3">
      <c r="A61" s="1412"/>
      <c r="B61" s="1413"/>
      <c r="C61" s="1359"/>
      <c r="D61" s="1402" t="s">
        <v>2130</v>
      </c>
      <c r="E61" s="1403"/>
      <c r="F61" s="1403"/>
      <c r="G61" s="1404"/>
      <c r="H61" s="1408">
        <v>5</v>
      </c>
      <c r="I61" s="1409"/>
      <c r="J61" s="1410"/>
      <c r="K61" s="1408">
        <v>5</v>
      </c>
      <c r="L61" s="1409"/>
      <c r="M61" s="1410"/>
      <c r="N61" s="1408">
        <v>5</v>
      </c>
      <c r="O61" s="1409"/>
      <c r="P61" s="1410"/>
      <c r="Q61" s="1408">
        <v>5</v>
      </c>
      <c r="R61" s="1409"/>
      <c r="S61" s="1410"/>
      <c r="T61" s="1408">
        <v>5</v>
      </c>
      <c r="U61" s="1409"/>
      <c r="V61" s="1410"/>
      <c r="W61" s="1408">
        <v>5</v>
      </c>
      <c r="X61" s="1409"/>
      <c r="Y61" s="1410"/>
      <c r="Z61" s="1408">
        <v>5</v>
      </c>
      <c r="AA61" s="1409"/>
      <c r="AB61" s="1410"/>
      <c r="AC61" s="1408">
        <v>5</v>
      </c>
      <c r="AD61" s="1409"/>
      <c r="AE61" s="1410"/>
      <c r="AF61" s="1408">
        <v>5</v>
      </c>
      <c r="AG61" s="1409"/>
      <c r="AH61" s="1410"/>
      <c r="AI61" s="1408">
        <v>5</v>
      </c>
      <c r="AJ61" s="1409"/>
      <c r="AK61" s="1410"/>
      <c r="AL61" s="1408">
        <v>5</v>
      </c>
      <c r="AM61" s="1409"/>
      <c r="AN61" s="1410"/>
      <c r="AO61" s="1408">
        <v>5</v>
      </c>
      <c r="AP61" s="1409"/>
      <c r="AQ61" s="1410"/>
      <c r="BN61" s="646"/>
      <c r="BO61" s="646"/>
      <c r="BP61" s="584">
        <v>0</v>
      </c>
      <c r="BR61" s="646"/>
      <c r="BS61" s="646"/>
    </row>
    <row r="62" spans="1:81" ht="16.5" x14ac:dyDescent="0.25">
      <c r="A62" s="1412"/>
      <c r="B62" s="1413"/>
      <c r="C62" s="1359"/>
      <c r="D62" s="1388" t="s">
        <v>2131</v>
      </c>
      <c r="E62" s="1390"/>
      <c r="F62" s="1394" t="s">
        <v>44</v>
      </c>
      <c r="G62" s="1395"/>
      <c r="H62" s="1385">
        <v>116</v>
      </c>
      <c r="I62" s="1386"/>
      <c r="J62" s="1387"/>
      <c r="K62" s="1385">
        <v>116</v>
      </c>
      <c r="L62" s="1386"/>
      <c r="M62" s="1387"/>
      <c r="N62" s="1385">
        <v>116</v>
      </c>
      <c r="O62" s="1386"/>
      <c r="P62" s="1387"/>
      <c r="Q62" s="1385">
        <v>116</v>
      </c>
      <c r="R62" s="1386"/>
      <c r="S62" s="1387"/>
      <c r="T62" s="1385">
        <v>116</v>
      </c>
      <c r="U62" s="1386"/>
      <c r="V62" s="1387"/>
      <c r="W62" s="1385">
        <v>116</v>
      </c>
      <c r="X62" s="1386"/>
      <c r="Y62" s="1387"/>
      <c r="Z62" s="1385">
        <v>116</v>
      </c>
      <c r="AA62" s="1386"/>
      <c r="AB62" s="1387"/>
      <c r="AC62" s="1385">
        <v>116</v>
      </c>
      <c r="AD62" s="1386"/>
      <c r="AE62" s="1387"/>
      <c r="AF62" s="1385">
        <v>116</v>
      </c>
      <c r="AG62" s="1386"/>
      <c r="AH62" s="1387"/>
      <c r="AI62" s="1385">
        <v>116</v>
      </c>
      <c r="AJ62" s="1386"/>
      <c r="AK62" s="1387"/>
      <c r="AL62" s="1385">
        <v>116</v>
      </c>
      <c r="AM62" s="1386"/>
      <c r="AN62" s="1387"/>
      <c r="AO62" s="1385">
        <v>116</v>
      </c>
      <c r="AP62" s="1386"/>
      <c r="AQ62" s="1387"/>
      <c r="BN62" s="646"/>
      <c r="BO62" s="646"/>
      <c r="BP62" s="584">
        <v>0</v>
      </c>
      <c r="BR62" s="646"/>
      <c r="BS62" s="646"/>
    </row>
    <row r="63" spans="1:81" ht="17.25" thickBot="1" x14ac:dyDescent="0.3">
      <c r="A63" s="1412"/>
      <c r="B63" s="1413"/>
      <c r="C63" s="1359"/>
      <c r="D63" s="1391"/>
      <c r="E63" s="1393"/>
      <c r="F63" s="1396" t="s">
        <v>46</v>
      </c>
      <c r="G63" s="1397"/>
      <c r="H63" s="1399">
        <v>10.5</v>
      </c>
      <c r="I63" s="1400"/>
      <c r="J63" s="1401"/>
      <c r="K63" s="1399">
        <v>10.5</v>
      </c>
      <c r="L63" s="1400"/>
      <c r="M63" s="1401"/>
      <c r="N63" s="1399">
        <v>10.5</v>
      </c>
      <c r="O63" s="1400"/>
      <c r="P63" s="1401"/>
      <c r="Q63" s="1399">
        <v>10.5</v>
      </c>
      <c r="R63" s="1400"/>
      <c r="S63" s="1401"/>
      <c r="T63" s="1399">
        <v>10.5</v>
      </c>
      <c r="U63" s="1400"/>
      <c r="V63" s="1401"/>
      <c r="W63" s="1399">
        <v>10.5</v>
      </c>
      <c r="X63" s="1400"/>
      <c r="Y63" s="1401"/>
      <c r="Z63" s="1399">
        <v>10.5</v>
      </c>
      <c r="AA63" s="1400"/>
      <c r="AB63" s="1401"/>
      <c r="AC63" s="1399">
        <v>10.5</v>
      </c>
      <c r="AD63" s="1400"/>
      <c r="AE63" s="1401"/>
      <c r="AF63" s="1399">
        <v>10.5</v>
      </c>
      <c r="AG63" s="1400"/>
      <c r="AH63" s="1401"/>
      <c r="AI63" s="1399">
        <v>10.5</v>
      </c>
      <c r="AJ63" s="1400"/>
      <c r="AK63" s="1401"/>
      <c r="AL63" s="1399">
        <v>10.5</v>
      </c>
      <c r="AM63" s="1400"/>
      <c r="AN63" s="1401"/>
      <c r="AO63" s="1399">
        <v>10.5</v>
      </c>
      <c r="AP63" s="1400"/>
      <c r="AQ63" s="1401"/>
      <c r="AX63" s="646"/>
      <c r="AY63" s="646"/>
      <c r="BB63" s="646"/>
      <c r="BC63" s="646"/>
      <c r="BN63" s="646"/>
      <c r="BO63" s="646"/>
      <c r="BP63" s="584">
        <v>0</v>
      </c>
      <c r="BR63" s="646"/>
      <c r="BS63" s="646"/>
    </row>
    <row r="64" spans="1:81" ht="17.25" thickBot="1" x14ac:dyDescent="0.3">
      <c r="A64" s="1391"/>
      <c r="B64" s="1393"/>
      <c r="C64" s="1360"/>
      <c r="D64" s="1402" t="s">
        <v>31</v>
      </c>
      <c r="E64" s="1403"/>
      <c r="F64" s="1403"/>
      <c r="G64" s="1404"/>
      <c r="H64" s="1405" t="s">
        <v>124</v>
      </c>
      <c r="I64" s="1406"/>
      <c r="J64" s="1407"/>
      <c r="K64" s="1405" t="s">
        <v>124</v>
      </c>
      <c r="L64" s="1406"/>
      <c r="M64" s="1407"/>
      <c r="N64" s="1405" t="s">
        <v>124</v>
      </c>
      <c r="O64" s="1406"/>
      <c r="P64" s="1407"/>
      <c r="Q64" s="1405" t="s">
        <v>124</v>
      </c>
      <c r="R64" s="1406"/>
      <c r="S64" s="1407"/>
      <c r="T64" s="1405" t="s">
        <v>124</v>
      </c>
      <c r="U64" s="1406"/>
      <c r="V64" s="1407"/>
      <c r="W64" s="1405" t="s">
        <v>124</v>
      </c>
      <c r="X64" s="1406"/>
      <c r="Y64" s="1407"/>
      <c r="Z64" s="1405" t="s">
        <v>124</v>
      </c>
      <c r="AA64" s="1406"/>
      <c r="AB64" s="1407"/>
      <c r="AC64" s="1405" t="s">
        <v>124</v>
      </c>
      <c r="AD64" s="1406"/>
      <c r="AE64" s="1407"/>
      <c r="AF64" s="1405" t="s">
        <v>124</v>
      </c>
      <c r="AG64" s="1406"/>
      <c r="AH64" s="1407"/>
      <c r="AI64" s="1405" t="s">
        <v>124</v>
      </c>
      <c r="AJ64" s="1406"/>
      <c r="AK64" s="1407"/>
      <c r="AL64" s="1405" t="s">
        <v>124</v>
      </c>
      <c r="AM64" s="1406"/>
      <c r="AN64" s="1407"/>
      <c r="AO64" s="1405" t="s">
        <v>124</v>
      </c>
      <c r="AP64" s="1406"/>
      <c r="AQ64" s="1407"/>
      <c r="AX64" s="646"/>
      <c r="AY64" s="646"/>
      <c r="BB64" s="646"/>
      <c r="BC64" s="646"/>
      <c r="BN64" s="646"/>
      <c r="BO64" s="646"/>
      <c r="BP64" s="584">
        <v>0</v>
      </c>
      <c r="BR64" s="646"/>
      <c r="BS64" s="646"/>
    </row>
    <row r="65" spans="1:55" ht="16.5" x14ac:dyDescent="0.25">
      <c r="A65" s="1411" t="s">
        <v>2132</v>
      </c>
      <c r="B65" s="1390"/>
      <c r="C65" s="1358">
        <v>25</v>
      </c>
      <c r="D65" s="1414" t="s">
        <v>13</v>
      </c>
      <c r="E65" s="1415"/>
      <c r="F65" s="1394" t="s">
        <v>44</v>
      </c>
      <c r="G65" s="1418"/>
      <c r="H65" s="453">
        <f>SQRT(I65^2+J65^2)*1000/(1.73*H68)</f>
        <v>18.33212155874887</v>
      </c>
      <c r="I65" s="454">
        <v>2.9969999999999999</v>
      </c>
      <c r="J65" s="455">
        <v>2.1878250439679028</v>
      </c>
      <c r="K65" s="453">
        <f>SQRT(L65^2+M65^2)*1000/(1.73*K68)</f>
        <v>18.672849200279064</v>
      </c>
      <c r="L65" s="454">
        <v>3.0680000000000001</v>
      </c>
      <c r="M65" s="455">
        <v>2.2073821639679028</v>
      </c>
      <c r="N65" s="453">
        <f>SQRT(O65^2+P65^2)*1000/(1.73*N68)</f>
        <v>19.20475205814769</v>
      </c>
      <c r="O65" s="454">
        <v>3.1589999999999998</v>
      </c>
      <c r="P65" s="455">
        <v>2.2652386439679026</v>
      </c>
      <c r="Q65" s="453">
        <f>SQRT(R65^2+S65^2)*1000/(1.73*Q68)</f>
        <v>18.874399848236845</v>
      </c>
      <c r="R65" s="454">
        <v>3.121</v>
      </c>
      <c r="S65" s="455">
        <v>2.2033077639679024</v>
      </c>
      <c r="T65" s="453">
        <f>SQRT(U65^2+V65^2)*1000/(1.73*T68)</f>
        <v>18.478511006160389</v>
      </c>
      <c r="U65" s="454">
        <v>3.0510000000000002</v>
      </c>
      <c r="V65" s="455">
        <v>2.1635063999999997</v>
      </c>
      <c r="W65" s="453">
        <f>SQRT(X65^2+Y65^2)*1000/(1.73*W68)</f>
        <v>18.190144062812251</v>
      </c>
      <c r="X65" s="454">
        <v>3.0110000000000001</v>
      </c>
      <c r="Y65" s="455">
        <v>2.1189676839679024</v>
      </c>
      <c r="Z65" s="453">
        <f>SQRT(AA65^2+AB65^2)*1000/(1.73*Z68)</f>
        <v>17.347805046291445</v>
      </c>
      <c r="AA65" s="454">
        <v>2.8940000000000001</v>
      </c>
      <c r="AB65" s="455">
        <v>1.9885868839679024</v>
      </c>
      <c r="AC65" s="453">
        <f>SQRT(AD65^2+AE65^2)*1000/(1.73*AC68)</f>
        <v>17.314582457824404</v>
      </c>
      <c r="AD65" s="454">
        <v>2.8969999999999998</v>
      </c>
      <c r="AE65" s="455">
        <v>1.9722892839679023</v>
      </c>
      <c r="AF65" s="453">
        <f>SQRT(AG65^2+AH65^2)*1000/(1.73*AF68)</f>
        <v>17.128170249385253</v>
      </c>
      <c r="AG65" s="454">
        <v>2.863</v>
      </c>
      <c r="AH65" s="455">
        <v>1.9551768039679025</v>
      </c>
      <c r="AI65" s="453">
        <f>SQRT(AJ65^2+AK65^2)*1000/(1.73*AI68)</f>
        <v>17.333711099437505</v>
      </c>
      <c r="AJ65" s="454">
        <v>2.9049999999999998</v>
      </c>
      <c r="AK65" s="455">
        <v>1.9674000039679027</v>
      </c>
      <c r="AL65" s="453">
        <f>SQRT(AM65^2+AN65^2)*1000/(1.73*AL68)</f>
        <v>17.256646862731479</v>
      </c>
      <c r="AM65" s="454">
        <v>2.8759999999999999</v>
      </c>
      <c r="AN65" s="455">
        <v>1.9821955999999998</v>
      </c>
      <c r="AO65" s="453">
        <f>SQRT(AP65^2+AQ65^2)*1000/(1.73*AO68)</f>
        <v>17.185799065536081</v>
      </c>
      <c r="AP65" s="454">
        <v>2.847</v>
      </c>
      <c r="AQ65" s="455">
        <v>1.9987728839679024</v>
      </c>
      <c r="AX65" s="646"/>
      <c r="AY65" s="646"/>
      <c r="BB65" s="646"/>
      <c r="BC65" s="646"/>
    </row>
    <row r="66" spans="1:55" ht="17.25" thickBot="1" x14ac:dyDescent="0.3">
      <c r="A66" s="1412"/>
      <c r="B66" s="1413"/>
      <c r="C66" s="1359"/>
      <c r="D66" s="1416"/>
      <c r="E66" s="1417"/>
      <c r="F66" s="1396" t="s">
        <v>46</v>
      </c>
      <c r="G66" s="1419"/>
      <c r="H66" s="457">
        <f>SQRT(I66^2+J66^2)*1000/(1.73*H69)</f>
        <v>201.2954851790621</v>
      </c>
      <c r="I66" s="458">
        <v>2.9592000000000001</v>
      </c>
      <c r="J66" s="459">
        <v>2.1478745768387029</v>
      </c>
      <c r="K66" s="457">
        <f>SQRT(L66^2+M66^2)*1000/(1.73*K69)</f>
        <v>205.00403695362706</v>
      </c>
      <c r="L66" s="458">
        <v>3.0284</v>
      </c>
      <c r="M66" s="459">
        <v>2.167074576838703</v>
      </c>
      <c r="N66" s="457">
        <f>SQRT(O66^2+P66^2)*1000/(1.73*N69)</f>
        <v>210.8711294477915</v>
      </c>
      <c r="O66" s="458">
        <v>3.1188000000000002</v>
      </c>
      <c r="P66" s="459">
        <v>2.2238745768387029</v>
      </c>
      <c r="Q66" s="457">
        <f>SQRT(R66^2+S66^2)*1000/(1.73*Q69)</f>
        <v>207.23012947305989</v>
      </c>
      <c r="R66" s="458">
        <v>3.0808</v>
      </c>
      <c r="S66" s="459">
        <v>2.1630745768387025</v>
      </c>
      <c r="T66" s="457">
        <f>SQRT(U66^2+V66^2)*1000/(1.73*T69)</f>
        <v>202.53496850376814</v>
      </c>
      <c r="U66" s="458">
        <v>3.004</v>
      </c>
      <c r="V66" s="459">
        <v>2.1239999999999997</v>
      </c>
      <c r="W66" s="457">
        <f>SQRT(X66^2+Y66^2)*1000/(1.73*W69)</f>
        <v>199.7632572547648</v>
      </c>
      <c r="X66" s="458">
        <v>2.9731999999999998</v>
      </c>
      <c r="Y66" s="459">
        <v>2.0802745768387028</v>
      </c>
      <c r="Z66" s="457">
        <f>SQRT(AA66^2+AB66^2)*1000/(1.73*Z69)</f>
        <v>190.50298107538089</v>
      </c>
      <c r="AA66" s="458">
        <v>2.8572000000000002</v>
      </c>
      <c r="AB66" s="459">
        <v>1.9522745768387026</v>
      </c>
      <c r="AC66" s="457">
        <f>SQRT(AD66^2+AE66^2)*1000/(1.73*AC69)</f>
        <v>190.1533072449804</v>
      </c>
      <c r="AD66" s="458">
        <v>2.8604000000000003</v>
      </c>
      <c r="AE66" s="459">
        <v>1.9362745768387024</v>
      </c>
      <c r="AF66" s="457">
        <f>SQRT(AG66^2+AH66^2)*1000/(1.73*AF69)</f>
        <v>188.10329660608409</v>
      </c>
      <c r="AG66" s="458">
        <v>2.8268</v>
      </c>
      <c r="AH66" s="459">
        <v>1.9194745768387027</v>
      </c>
      <c r="AI66" s="457">
        <f>SQRT(AJ66^2+AK66^2)*1000/(1.73*AI69)</f>
        <v>190.35219040134729</v>
      </c>
      <c r="AJ66" s="458">
        <v>2.8680000000000003</v>
      </c>
      <c r="AK66" s="459">
        <v>1.9314745768387029</v>
      </c>
      <c r="AL66" s="457">
        <f>SQRT(AM66^2+AN66^2)*1000/(1.73*AL69)</f>
        <v>189.16333154306551</v>
      </c>
      <c r="AM66" s="458">
        <v>2.8320000000000003</v>
      </c>
      <c r="AN66" s="459">
        <v>1.946</v>
      </c>
      <c r="AO66" s="457">
        <f>SQRT(AP66^2+AQ66^2)*1000/(1.73*AO69)</f>
        <v>188.75014539261772</v>
      </c>
      <c r="AP66" s="458">
        <v>2.8115999999999999</v>
      </c>
      <c r="AQ66" s="459">
        <v>1.9622745768387027</v>
      </c>
      <c r="AR66" s="456"/>
      <c r="AS66" s="456"/>
      <c r="AX66" s="646"/>
      <c r="AY66" s="646"/>
      <c r="BB66" s="646"/>
      <c r="BC66" s="646"/>
    </row>
    <row r="67" spans="1:55" ht="17.25" thickBot="1" x14ac:dyDescent="0.3">
      <c r="A67" s="1412"/>
      <c r="B67" s="1413"/>
      <c r="C67" s="1359"/>
      <c r="D67" s="1402" t="s">
        <v>2130</v>
      </c>
      <c r="E67" s="1403"/>
      <c r="F67" s="1403"/>
      <c r="G67" s="1404"/>
      <c r="H67" s="1408">
        <v>5</v>
      </c>
      <c r="I67" s="1409"/>
      <c r="J67" s="1410"/>
      <c r="K67" s="1408">
        <v>5</v>
      </c>
      <c r="L67" s="1409"/>
      <c r="M67" s="1410"/>
      <c r="N67" s="1408">
        <v>5</v>
      </c>
      <c r="O67" s="1409"/>
      <c r="P67" s="1410"/>
      <c r="Q67" s="1408">
        <v>5</v>
      </c>
      <c r="R67" s="1409"/>
      <c r="S67" s="1410"/>
      <c r="T67" s="1408">
        <v>5</v>
      </c>
      <c r="U67" s="1409"/>
      <c r="V67" s="1410"/>
      <c r="W67" s="1408">
        <v>5</v>
      </c>
      <c r="X67" s="1409"/>
      <c r="Y67" s="1410"/>
      <c r="Z67" s="1408">
        <v>5</v>
      </c>
      <c r="AA67" s="1409"/>
      <c r="AB67" s="1410"/>
      <c r="AC67" s="1408">
        <v>5</v>
      </c>
      <c r="AD67" s="1409"/>
      <c r="AE67" s="1410"/>
      <c r="AF67" s="1408">
        <v>5</v>
      </c>
      <c r="AG67" s="1409"/>
      <c r="AH67" s="1410"/>
      <c r="AI67" s="1408">
        <v>5</v>
      </c>
      <c r="AJ67" s="1409"/>
      <c r="AK67" s="1410"/>
      <c r="AL67" s="1408">
        <v>5</v>
      </c>
      <c r="AM67" s="1409"/>
      <c r="AN67" s="1410"/>
      <c r="AO67" s="1408">
        <v>5</v>
      </c>
      <c r="AP67" s="1409"/>
      <c r="AQ67" s="1410"/>
      <c r="AX67" s="646"/>
      <c r="AY67" s="646"/>
      <c r="BB67" s="646"/>
      <c r="BC67" s="646"/>
    </row>
    <row r="68" spans="1:55" ht="16.5" x14ac:dyDescent="0.25">
      <c r="A68" s="1412"/>
      <c r="B68" s="1413"/>
      <c r="C68" s="1359"/>
      <c r="D68" s="1388" t="s">
        <v>2131</v>
      </c>
      <c r="E68" s="1390"/>
      <c r="F68" s="1394" t="s">
        <v>44</v>
      </c>
      <c r="G68" s="1395"/>
      <c r="H68" s="1385">
        <v>117</v>
      </c>
      <c r="I68" s="1386"/>
      <c r="J68" s="1387"/>
      <c r="K68" s="1385">
        <v>117</v>
      </c>
      <c r="L68" s="1386"/>
      <c r="M68" s="1387"/>
      <c r="N68" s="1385">
        <v>117</v>
      </c>
      <c r="O68" s="1386"/>
      <c r="P68" s="1387"/>
      <c r="Q68" s="1385">
        <v>117</v>
      </c>
      <c r="R68" s="1386"/>
      <c r="S68" s="1387"/>
      <c r="T68" s="1385">
        <v>117</v>
      </c>
      <c r="U68" s="1386"/>
      <c r="V68" s="1387"/>
      <c r="W68" s="1385">
        <v>117</v>
      </c>
      <c r="X68" s="1386"/>
      <c r="Y68" s="1387"/>
      <c r="Z68" s="1385">
        <v>117</v>
      </c>
      <c r="AA68" s="1386"/>
      <c r="AB68" s="1387"/>
      <c r="AC68" s="1385">
        <v>117</v>
      </c>
      <c r="AD68" s="1386"/>
      <c r="AE68" s="1387"/>
      <c r="AF68" s="1385">
        <v>117</v>
      </c>
      <c r="AG68" s="1386"/>
      <c r="AH68" s="1387"/>
      <c r="AI68" s="1385">
        <v>117</v>
      </c>
      <c r="AJ68" s="1386"/>
      <c r="AK68" s="1387"/>
      <c r="AL68" s="1385">
        <v>117</v>
      </c>
      <c r="AM68" s="1386"/>
      <c r="AN68" s="1387"/>
      <c r="AO68" s="1385">
        <v>117</v>
      </c>
      <c r="AP68" s="1386"/>
      <c r="AQ68" s="1387"/>
      <c r="AX68" s="646"/>
      <c r="AY68" s="646"/>
      <c r="BB68" s="646"/>
      <c r="BC68" s="646"/>
    </row>
    <row r="69" spans="1:55" ht="17.25" thickBot="1" x14ac:dyDescent="0.3">
      <c r="A69" s="1412"/>
      <c r="B69" s="1413"/>
      <c r="C69" s="1359"/>
      <c r="D69" s="1391"/>
      <c r="E69" s="1393"/>
      <c r="F69" s="1396" t="s">
        <v>46</v>
      </c>
      <c r="G69" s="1397"/>
      <c r="H69" s="1399">
        <v>10.5</v>
      </c>
      <c r="I69" s="1400"/>
      <c r="J69" s="1401"/>
      <c r="K69" s="1399">
        <v>10.5</v>
      </c>
      <c r="L69" s="1400"/>
      <c r="M69" s="1401"/>
      <c r="N69" s="1399">
        <v>10.5</v>
      </c>
      <c r="O69" s="1400"/>
      <c r="P69" s="1401"/>
      <c r="Q69" s="1399">
        <v>10.5</v>
      </c>
      <c r="R69" s="1400"/>
      <c r="S69" s="1401"/>
      <c r="T69" s="1399">
        <v>10.5</v>
      </c>
      <c r="U69" s="1400"/>
      <c r="V69" s="1401"/>
      <c r="W69" s="1399">
        <v>10.5</v>
      </c>
      <c r="X69" s="1400"/>
      <c r="Y69" s="1401"/>
      <c r="Z69" s="1399">
        <v>10.5</v>
      </c>
      <c r="AA69" s="1400"/>
      <c r="AB69" s="1401"/>
      <c r="AC69" s="1399">
        <v>10.5</v>
      </c>
      <c r="AD69" s="1400"/>
      <c r="AE69" s="1401"/>
      <c r="AF69" s="1399">
        <v>10.5</v>
      </c>
      <c r="AG69" s="1400"/>
      <c r="AH69" s="1401"/>
      <c r="AI69" s="1399">
        <v>10.5</v>
      </c>
      <c r="AJ69" s="1400"/>
      <c r="AK69" s="1401"/>
      <c r="AL69" s="1399">
        <v>10.5</v>
      </c>
      <c r="AM69" s="1400"/>
      <c r="AN69" s="1401"/>
      <c r="AO69" s="1399">
        <v>10.5</v>
      </c>
      <c r="AP69" s="1400"/>
      <c r="AQ69" s="1401"/>
      <c r="AX69" s="646"/>
      <c r="AY69" s="646"/>
      <c r="BB69" s="646"/>
      <c r="BC69" s="646"/>
    </row>
    <row r="70" spans="1:55" ht="17.25" thickBot="1" x14ac:dyDescent="0.3">
      <c r="A70" s="1412"/>
      <c r="B70" s="1413"/>
      <c r="C70" s="1359"/>
      <c r="D70" s="1402" t="s">
        <v>31</v>
      </c>
      <c r="E70" s="1403"/>
      <c r="F70" s="1403"/>
      <c r="G70" s="1404"/>
      <c r="H70" s="1405" t="s">
        <v>124</v>
      </c>
      <c r="I70" s="1406"/>
      <c r="J70" s="1407"/>
      <c r="K70" s="1405" t="s">
        <v>124</v>
      </c>
      <c r="L70" s="1406"/>
      <c r="M70" s="1407"/>
      <c r="N70" s="1405" t="s">
        <v>124</v>
      </c>
      <c r="O70" s="1406"/>
      <c r="P70" s="1407"/>
      <c r="Q70" s="1405" t="s">
        <v>124</v>
      </c>
      <c r="R70" s="1406"/>
      <c r="S70" s="1407"/>
      <c r="T70" s="1405" t="s">
        <v>124</v>
      </c>
      <c r="U70" s="1406"/>
      <c r="V70" s="1407"/>
      <c r="W70" s="1405" t="s">
        <v>124</v>
      </c>
      <c r="X70" s="1406"/>
      <c r="Y70" s="1407"/>
      <c r="Z70" s="1405" t="s">
        <v>124</v>
      </c>
      <c r="AA70" s="1406"/>
      <c r="AB70" s="1407"/>
      <c r="AC70" s="1405" t="s">
        <v>124</v>
      </c>
      <c r="AD70" s="1406"/>
      <c r="AE70" s="1407"/>
      <c r="AF70" s="1405" t="s">
        <v>124</v>
      </c>
      <c r="AG70" s="1406"/>
      <c r="AH70" s="1407"/>
      <c r="AI70" s="1405" t="s">
        <v>124</v>
      </c>
      <c r="AJ70" s="1406"/>
      <c r="AK70" s="1407"/>
      <c r="AL70" s="1405" t="s">
        <v>124</v>
      </c>
      <c r="AM70" s="1406"/>
      <c r="AN70" s="1407"/>
      <c r="AO70" s="1405" t="s">
        <v>124</v>
      </c>
      <c r="AP70" s="1406"/>
      <c r="AQ70" s="1407"/>
      <c r="AX70" s="646"/>
      <c r="AY70" s="646"/>
      <c r="BB70" s="646"/>
      <c r="BC70" s="646"/>
    </row>
    <row r="71" spans="1:55" ht="16.5" x14ac:dyDescent="0.25">
      <c r="A71" s="1388" t="s">
        <v>2133</v>
      </c>
      <c r="B71" s="1389"/>
      <c r="C71" s="1390"/>
      <c r="D71" s="1362"/>
      <c r="E71" s="1364"/>
      <c r="F71" s="1394" t="s">
        <v>44</v>
      </c>
      <c r="G71" s="1395"/>
      <c r="H71" s="453">
        <f t="shared" ref="H71:AQ72" si="4">H59+H65</f>
        <v>36.00634093021101</v>
      </c>
      <c r="I71" s="460">
        <f t="shared" si="4"/>
        <v>5.8339999999999996</v>
      </c>
      <c r="J71" s="461">
        <f t="shared" si="4"/>
        <v>4.3165954598395135</v>
      </c>
      <c r="K71" s="453">
        <f t="shared" si="4"/>
        <v>36.739778686194668</v>
      </c>
      <c r="L71" s="460">
        <f t="shared" si="4"/>
        <v>5.9569999999999999</v>
      </c>
      <c r="M71" s="461">
        <f t="shared" si="4"/>
        <v>4.3980834598395138</v>
      </c>
      <c r="N71" s="453">
        <f t="shared" si="4"/>
        <v>36.721491580797029</v>
      </c>
      <c r="O71" s="460">
        <f t="shared" si="4"/>
        <v>6.0060000000000002</v>
      </c>
      <c r="P71" s="461">
        <f t="shared" si="4"/>
        <v>4.3271888998395127</v>
      </c>
      <c r="Q71" s="453">
        <f t="shared" si="4"/>
        <v>38.695843268051775</v>
      </c>
      <c r="R71" s="460">
        <f t="shared" si="4"/>
        <v>6.3769999999999998</v>
      </c>
      <c r="S71" s="461">
        <f t="shared" si="4"/>
        <v>4.4882796277753183</v>
      </c>
      <c r="T71" s="453">
        <f t="shared" si="4"/>
        <v>35.561290133616239</v>
      </c>
      <c r="U71" s="460">
        <f t="shared" si="4"/>
        <v>5.9540000000000006</v>
      </c>
      <c r="V71" s="461">
        <f t="shared" si="4"/>
        <v>3.9869523279358052</v>
      </c>
      <c r="W71" s="453">
        <f t="shared" si="4"/>
        <v>37.098365728329085</v>
      </c>
      <c r="X71" s="460">
        <f t="shared" si="4"/>
        <v>6.3309999999999995</v>
      </c>
      <c r="Y71" s="461">
        <f t="shared" si="4"/>
        <v>3.9563149157111237</v>
      </c>
      <c r="Z71" s="453">
        <f t="shared" si="4"/>
        <v>32.681201198643159</v>
      </c>
      <c r="AA71" s="460">
        <f t="shared" si="4"/>
        <v>5.5430000000000001</v>
      </c>
      <c r="AB71" s="461">
        <f t="shared" si="4"/>
        <v>3.5542752198395133</v>
      </c>
      <c r="AC71" s="453">
        <f t="shared" si="4"/>
        <v>34.498161653382454</v>
      </c>
      <c r="AD71" s="460">
        <f t="shared" si="4"/>
        <v>5.6719999999999997</v>
      </c>
      <c r="AE71" s="461">
        <f t="shared" si="4"/>
        <v>4.0194439438074161</v>
      </c>
      <c r="AF71" s="453">
        <f t="shared" si="4"/>
        <v>33.367862649290444</v>
      </c>
      <c r="AG71" s="460">
        <f t="shared" si="4"/>
        <v>5.5860000000000003</v>
      </c>
      <c r="AH71" s="461">
        <f t="shared" si="4"/>
        <v>3.7457720198395132</v>
      </c>
      <c r="AI71" s="453">
        <f t="shared" si="4"/>
        <v>34.309020571968389</v>
      </c>
      <c r="AJ71" s="460">
        <f t="shared" si="4"/>
        <v>5.7009999999999996</v>
      </c>
      <c r="AK71" s="461">
        <f t="shared" si="4"/>
        <v>3.9135095438074163</v>
      </c>
      <c r="AL71" s="453">
        <f t="shared" si="4"/>
        <v>30.815856442549503</v>
      </c>
      <c r="AM71" s="460">
        <f t="shared" si="4"/>
        <v>5.1340000000000003</v>
      </c>
      <c r="AN71" s="461">
        <f t="shared" si="4"/>
        <v>3.5006208958716107</v>
      </c>
      <c r="AO71" s="453">
        <f t="shared" si="4"/>
        <v>30.513396224292471</v>
      </c>
      <c r="AP71" s="460">
        <f t="shared" si="4"/>
        <v>5.016</v>
      </c>
      <c r="AQ71" s="461">
        <f t="shared" si="4"/>
        <v>3.5636463398395133</v>
      </c>
    </row>
    <row r="72" spans="1:55" ht="17.25" thickBot="1" x14ac:dyDescent="0.3">
      <c r="A72" s="1391"/>
      <c r="B72" s="1392"/>
      <c r="C72" s="1393"/>
      <c r="D72" s="1365"/>
      <c r="E72" s="1367"/>
      <c r="F72" s="1396" t="s">
        <v>46</v>
      </c>
      <c r="G72" s="1397"/>
      <c r="H72" s="457">
        <f t="shared" si="4"/>
        <v>394.77179462348636</v>
      </c>
      <c r="I72" s="462">
        <f t="shared" si="4"/>
        <v>5.7848000000000006</v>
      </c>
      <c r="J72" s="463">
        <f t="shared" si="4"/>
        <v>4.2377728841935145</v>
      </c>
      <c r="K72" s="457">
        <f t="shared" si="4"/>
        <v>402.73941972728846</v>
      </c>
      <c r="L72" s="462">
        <f t="shared" si="4"/>
        <v>5.9052000000000007</v>
      </c>
      <c r="M72" s="463">
        <f t="shared" si="4"/>
        <v>4.3177728841935146</v>
      </c>
      <c r="N72" s="457">
        <f t="shared" si="4"/>
        <v>402.65184494834637</v>
      </c>
      <c r="O72" s="462">
        <f t="shared" si="4"/>
        <v>5.9540000000000006</v>
      </c>
      <c r="P72" s="463">
        <f t="shared" si="4"/>
        <v>4.2481728841935142</v>
      </c>
      <c r="Q72" s="457">
        <f t="shared" si="4"/>
        <v>424.82601820128195</v>
      </c>
      <c r="R72" s="462">
        <f t="shared" si="4"/>
        <v>6.3352000000000004</v>
      </c>
      <c r="S72" s="463">
        <f t="shared" si="4"/>
        <v>4.40632203787092</v>
      </c>
      <c r="T72" s="457">
        <f t="shared" si="4"/>
        <v>388.95213126050015</v>
      </c>
      <c r="U72" s="462">
        <f t="shared" si="4"/>
        <v>5.8784000000000001</v>
      </c>
      <c r="V72" s="463">
        <f t="shared" si="4"/>
        <v>3.9141491536774051</v>
      </c>
      <c r="W72" s="457">
        <f t="shared" si="4"/>
        <v>408.38546576027284</v>
      </c>
      <c r="X72" s="462">
        <f t="shared" si="4"/>
        <v>6.306</v>
      </c>
      <c r="Y72" s="463">
        <f t="shared" si="4"/>
        <v>3.8840711915483253</v>
      </c>
      <c r="Z72" s="457">
        <f t="shared" si="4"/>
        <v>358.67675630500804</v>
      </c>
      <c r="AA72" s="462">
        <f t="shared" si="4"/>
        <v>5.4972000000000003</v>
      </c>
      <c r="AB72" s="463">
        <f t="shared" si="4"/>
        <v>3.4893728841935139</v>
      </c>
      <c r="AC72" s="457">
        <f t="shared" si="4"/>
        <v>378.67845841911748</v>
      </c>
      <c r="AD72" s="462">
        <f t="shared" si="4"/>
        <v>5.6332000000000004</v>
      </c>
      <c r="AE72" s="463">
        <f t="shared" si="4"/>
        <v>3.9460474610322169</v>
      </c>
      <c r="AF72" s="457">
        <f t="shared" si="4"/>
        <v>366.05909828987137</v>
      </c>
      <c r="AG72" s="462">
        <f t="shared" si="4"/>
        <v>5.5396000000000001</v>
      </c>
      <c r="AH72" s="463">
        <f t="shared" si="4"/>
        <v>3.677372884193514</v>
      </c>
      <c r="AI72" s="457">
        <f t="shared" si="4"/>
        <v>376.63283477069228</v>
      </c>
      <c r="AJ72" s="462">
        <f t="shared" si="4"/>
        <v>5.6608000000000001</v>
      </c>
      <c r="AK72" s="463">
        <f t="shared" si="4"/>
        <v>3.8420474610322168</v>
      </c>
      <c r="AL72" s="457">
        <f t="shared" si="4"/>
        <v>337.98531574192964</v>
      </c>
      <c r="AM72" s="462">
        <f t="shared" si="4"/>
        <v>5.0872000000000011</v>
      </c>
      <c r="AN72" s="463">
        <f t="shared" si="4"/>
        <v>3.4366983073548116</v>
      </c>
      <c r="AO72" s="457">
        <f t="shared" si="4"/>
        <v>334.99267210209098</v>
      </c>
      <c r="AP72" s="462">
        <f t="shared" si="4"/>
        <v>4.9787999999999997</v>
      </c>
      <c r="AQ72" s="463">
        <f t="shared" si="4"/>
        <v>3.4985728841935142</v>
      </c>
    </row>
    <row r="73" spans="1:55" ht="16.5" x14ac:dyDescent="0.25">
      <c r="A73" s="464"/>
      <c r="B73" s="465"/>
      <c r="C73" s="466"/>
      <c r="D73" s="442"/>
      <c r="E73" s="1398"/>
      <c r="F73" s="1398"/>
      <c r="G73" s="467"/>
      <c r="H73" s="585"/>
      <c r="I73" s="438"/>
      <c r="J73" s="438"/>
      <c r="K73" s="438"/>
      <c r="L73" s="438"/>
      <c r="M73" s="438"/>
      <c r="N73" s="438"/>
      <c r="O73" s="438"/>
      <c r="P73" s="438"/>
      <c r="Q73" s="438"/>
      <c r="R73" s="438"/>
      <c r="S73" s="438"/>
      <c r="T73" s="438"/>
      <c r="U73" s="438"/>
      <c r="V73" s="438"/>
      <c r="W73" s="438"/>
      <c r="X73" s="438"/>
      <c r="Y73" s="438"/>
      <c r="Z73" s="438"/>
      <c r="AA73" s="438"/>
      <c r="AB73" s="438"/>
      <c r="AC73" s="438"/>
      <c r="AD73" s="438"/>
      <c r="AE73" s="438"/>
      <c r="AF73" s="438"/>
      <c r="AG73" s="438"/>
      <c r="AH73" s="438"/>
      <c r="AI73" s="438"/>
      <c r="AJ73" s="438"/>
      <c r="AK73" s="438"/>
      <c r="AL73" s="438"/>
      <c r="AM73" s="438"/>
      <c r="AN73" s="438"/>
      <c r="AO73" s="438"/>
      <c r="AP73" s="438"/>
      <c r="AQ73" s="467"/>
    </row>
    <row r="74" spans="1:55" ht="17.25" thickBot="1" x14ac:dyDescent="0.3">
      <c r="A74" s="468"/>
      <c r="B74" s="469"/>
      <c r="C74" s="470"/>
      <c r="D74" s="471"/>
      <c r="E74" s="1384"/>
      <c r="F74" s="1384"/>
      <c r="G74" s="472"/>
      <c r="H74" s="586"/>
      <c r="I74" s="473"/>
      <c r="J74" s="473"/>
      <c r="K74" s="473"/>
      <c r="L74" s="473"/>
      <c r="M74" s="473"/>
      <c r="N74" s="473"/>
      <c r="O74" s="473"/>
      <c r="P74" s="473"/>
      <c r="Q74" s="473"/>
      <c r="R74" s="473"/>
      <c r="S74" s="473"/>
      <c r="T74" s="473"/>
      <c r="U74" s="473"/>
      <c r="V74" s="473"/>
      <c r="W74" s="473"/>
      <c r="X74" s="473"/>
      <c r="Y74" s="473"/>
      <c r="Z74" s="473"/>
      <c r="AA74" s="473"/>
      <c r="AB74" s="473"/>
      <c r="AC74" s="473"/>
      <c r="AD74" s="473"/>
      <c r="AE74" s="473"/>
      <c r="AF74" s="473"/>
      <c r="AG74" s="473"/>
      <c r="AH74" s="473"/>
      <c r="AI74" s="473"/>
      <c r="AJ74" s="473"/>
      <c r="AK74" s="473"/>
      <c r="AL74" s="473"/>
      <c r="AM74" s="473"/>
      <c r="AN74" s="473"/>
      <c r="AO74" s="473"/>
      <c r="AP74" s="473"/>
      <c r="AQ74" s="472"/>
    </row>
    <row r="75" spans="1:55" ht="17.25" thickBot="1" x14ac:dyDescent="0.3">
      <c r="A75" s="474"/>
      <c r="B75" s="475"/>
      <c r="C75" s="475"/>
      <c r="D75" s="476"/>
      <c r="E75" s="477"/>
      <c r="F75" s="476"/>
      <c r="G75" s="477"/>
      <c r="H75" s="478"/>
      <c r="I75" s="476"/>
      <c r="J75" s="476"/>
      <c r="K75" s="478"/>
      <c r="L75" s="476"/>
      <c r="M75" s="476"/>
      <c r="N75" s="478"/>
      <c r="O75" s="476"/>
      <c r="P75" s="476"/>
      <c r="Q75" s="478"/>
      <c r="R75" s="476"/>
      <c r="S75" s="476"/>
      <c r="T75" s="478"/>
      <c r="U75" s="476"/>
      <c r="V75" s="476"/>
      <c r="W75" s="478"/>
      <c r="X75" s="476"/>
      <c r="Y75" s="476"/>
      <c r="Z75" s="478"/>
      <c r="AA75" s="476"/>
      <c r="AB75" s="476"/>
      <c r="AC75" s="478"/>
      <c r="AD75" s="476"/>
      <c r="AE75" s="476"/>
      <c r="AF75" s="478"/>
      <c r="AG75" s="476"/>
      <c r="AH75" s="476"/>
      <c r="AI75" s="478"/>
      <c r="AJ75" s="476"/>
      <c r="AK75" s="476"/>
      <c r="AL75" s="478"/>
      <c r="AM75" s="476"/>
      <c r="AN75" s="476"/>
      <c r="AO75" s="478"/>
      <c r="AP75" s="476"/>
      <c r="AQ75" s="476"/>
    </row>
    <row r="76" spans="1:55" ht="16.5" x14ac:dyDescent="0.25">
      <c r="A76" s="1346" t="s">
        <v>2138</v>
      </c>
      <c r="B76" s="1347"/>
      <c r="C76" s="1347"/>
      <c r="D76" s="1385" t="s">
        <v>22</v>
      </c>
      <c r="E76" s="1386"/>
      <c r="F76" s="1386" t="s">
        <v>23</v>
      </c>
      <c r="G76" s="1387"/>
      <c r="H76" s="1368" t="s">
        <v>112</v>
      </c>
      <c r="I76" s="1369"/>
      <c r="J76" s="1370"/>
      <c r="K76" s="1368" t="s">
        <v>113</v>
      </c>
      <c r="L76" s="1369"/>
      <c r="M76" s="1370"/>
      <c r="N76" s="1368" t="s">
        <v>114</v>
      </c>
      <c r="O76" s="1369"/>
      <c r="P76" s="1370"/>
      <c r="Q76" s="1368" t="s">
        <v>115</v>
      </c>
      <c r="R76" s="1369"/>
      <c r="S76" s="1370"/>
      <c r="T76" s="1368" t="s">
        <v>116</v>
      </c>
      <c r="U76" s="1369"/>
      <c r="V76" s="1370"/>
      <c r="W76" s="1368" t="s">
        <v>117</v>
      </c>
      <c r="X76" s="1369"/>
      <c r="Y76" s="1370"/>
      <c r="Z76" s="1368" t="s">
        <v>118</v>
      </c>
      <c r="AA76" s="1369"/>
      <c r="AB76" s="1370"/>
      <c r="AC76" s="1368" t="s">
        <v>119</v>
      </c>
      <c r="AD76" s="1369"/>
      <c r="AE76" s="1370"/>
      <c r="AF76" s="1368" t="s">
        <v>120</v>
      </c>
      <c r="AG76" s="1369"/>
      <c r="AH76" s="1370"/>
      <c r="AI76" s="1368" t="s">
        <v>121</v>
      </c>
      <c r="AJ76" s="1369"/>
      <c r="AK76" s="1370"/>
      <c r="AL76" s="1368" t="s">
        <v>122</v>
      </c>
      <c r="AM76" s="1369"/>
      <c r="AN76" s="1370"/>
      <c r="AO76" s="1368" t="s">
        <v>5</v>
      </c>
      <c r="AP76" s="1369"/>
      <c r="AQ76" s="1370"/>
    </row>
    <row r="77" spans="1:55" ht="17.25" thickBot="1" x14ac:dyDescent="0.3">
      <c r="A77" s="1374" t="s">
        <v>2139</v>
      </c>
      <c r="B77" s="1375"/>
      <c r="C77" s="1375"/>
      <c r="D77" s="479" t="s">
        <v>24</v>
      </c>
      <c r="E77" s="480" t="s">
        <v>25</v>
      </c>
      <c r="F77" s="481" t="s">
        <v>24</v>
      </c>
      <c r="G77" s="482" t="s">
        <v>25</v>
      </c>
      <c r="H77" s="1371"/>
      <c r="I77" s="1372"/>
      <c r="J77" s="1373"/>
      <c r="K77" s="1371"/>
      <c r="L77" s="1372"/>
      <c r="M77" s="1373"/>
      <c r="N77" s="1371"/>
      <c r="O77" s="1372"/>
      <c r="P77" s="1373"/>
      <c r="Q77" s="1371"/>
      <c r="R77" s="1372"/>
      <c r="S77" s="1373"/>
      <c r="T77" s="1371"/>
      <c r="U77" s="1372"/>
      <c r="V77" s="1373"/>
      <c r="W77" s="1371"/>
      <c r="X77" s="1372"/>
      <c r="Y77" s="1373"/>
      <c r="Z77" s="1371"/>
      <c r="AA77" s="1372"/>
      <c r="AB77" s="1373"/>
      <c r="AC77" s="1371"/>
      <c r="AD77" s="1372"/>
      <c r="AE77" s="1373"/>
      <c r="AF77" s="1371"/>
      <c r="AG77" s="1372"/>
      <c r="AH77" s="1373"/>
      <c r="AI77" s="1371"/>
      <c r="AJ77" s="1372"/>
      <c r="AK77" s="1373"/>
      <c r="AL77" s="1371"/>
      <c r="AM77" s="1372"/>
      <c r="AN77" s="1373"/>
      <c r="AO77" s="1371"/>
      <c r="AP77" s="1372"/>
      <c r="AQ77" s="1373"/>
    </row>
    <row r="78" spans="1:55" ht="16.5" x14ac:dyDescent="0.25">
      <c r="A78" s="483" t="s">
        <v>2140</v>
      </c>
      <c r="B78" s="484" t="s">
        <v>2141</v>
      </c>
      <c r="C78" s="485"/>
      <c r="D78" s="486"/>
      <c r="E78" s="487"/>
      <c r="F78" s="488"/>
      <c r="G78" s="489"/>
      <c r="H78" s="490">
        <f>SQRT(I78^2+J78^2)*1000/(1.73*H63)</f>
        <v>61.706165787842799</v>
      </c>
      <c r="I78" s="491">
        <v>1.08</v>
      </c>
      <c r="J78" s="492">
        <v>0.3</v>
      </c>
      <c r="K78" s="490">
        <f>SQRT(L78^2+M78^2)*1000/(1.73*K63)</f>
        <v>61.706165787842799</v>
      </c>
      <c r="L78" s="491">
        <v>1.08</v>
      </c>
      <c r="M78" s="492">
        <v>0.3</v>
      </c>
      <c r="N78" s="490">
        <f>SQRT(O78^2+P78^2)*1000/(1.73*N63)</f>
        <v>61.706165787842799</v>
      </c>
      <c r="O78" s="491">
        <v>1.08</v>
      </c>
      <c r="P78" s="492">
        <v>0.3</v>
      </c>
      <c r="Q78" s="490">
        <f>SQRT(R78^2+S78^2)*1000/(1.73*Q63)</f>
        <v>82.57638315441784</v>
      </c>
      <c r="R78" s="491">
        <v>1.44</v>
      </c>
      <c r="S78" s="492">
        <v>0.42</v>
      </c>
      <c r="T78" s="490">
        <f>SQRT(U78^2+V78^2)*1000/(1.73*T63)</f>
        <v>72.139817234819347</v>
      </c>
      <c r="U78" s="491">
        <v>1.26</v>
      </c>
      <c r="V78" s="492">
        <v>0.36</v>
      </c>
      <c r="W78" s="490">
        <f>SQRT(X78^2+Y78^2)*1000/(1.73*W63)</f>
        <v>94.585110244600187</v>
      </c>
      <c r="X78" s="491">
        <v>1.68</v>
      </c>
      <c r="Y78" s="492">
        <v>0.36</v>
      </c>
      <c r="Z78" s="490">
        <f>SQRT(AA78^2+AB78^2)*1000/(1.73*Z63)</f>
        <v>75.321250212990137</v>
      </c>
      <c r="AA78" s="491">
        <v>1.32</v>
      </c>
      <c r="AB78" s="492">
        <v>0.36</v>
      </c>
      <c r="AC78" s="490">
        <f>SQRT(AD78^2+AE78^2)*1000/(1.73*AC63)</f>
        <v>68.9698200423488</v>
      </c>
      <c r="AD78" s="491">
        <v>1.2</v>
      </c>
      <c r="AE78" s="492">
        <v>0.36</v>
      </c>
      <c r="AF78" s="490">
        <f>SQRT(AG78^2+AH78^2)*1000/(1.73*AF63)</f>
        <v>72.139817234819347</v>
      </c>
      <c r="AG78" s="491">
        <v>1.26</v>
      </c>
      <c r="AH78" s="492">
        <v>0.36</v>
      </c>
      <c r="AI78" s="490">
        <f>SQRT(AJ78^2+AK78^2)*1000/(1.73*AI63)</f>
        <v>72.139817234819347</v>
      </c>
      <c r="AJ78" s="491">
        <v>1.26</v>
      </c>
      <c r="AK78" s="492">
        <v>0.36</v>
      </c>
      <c r="AL78" s="490">
        <f>SQRT(AM78^2+AN78^2)*1000/(1.73*AL63)</f>
        <v>51.277207914979435</v>
      </c>
      <c r="AM78" s="491">
        <v>0.9</v>
      </c>
      <c r="AN78" s="492">
        <v>0.24</v>
      </c>
      <c r="AO78" s="490">
        <f>SQRT(AP78^2+AQ78^2)*1000/(1.73*AO63)</f>
        <v>46.006237084010301</v>
      </c>
      <c r="AP78" s="491">
        <v>0.78</v>
      </c>
      <c r="AQ78" s="492">
        <v>0.3</v>
      </c>
    </row>
    <row r="79" spans="1:55" ht="16.5" x14ac:dyDescent="0.25">
      <c r="A79" s="493" t="s">
        <v>2142</v>
      </c>
      <c r="B79" s="494" t="s">
        <v>2143</v>
      </c>
      <c r="C79" s="495"/>
      <c r="D79" s="496"/>
      <c r="E79" s="497"/>
      <c r="F79" s="498"/>
      <c r="G79" s="499"/>
      <c r="H79" s="500">
        <f>SQRT(I79^2+J79^2)*1000/(1.73*H65)</f>
        <v>0</v>
      </c>
      <c r="I79" s="501">
        <v>0</v>
      </c>
      <c r="J79" s="502">
        <v>0</v>
      </c>
      <c r="K79" s="500">
        <f>SQRT(L79^2+M79^2)*1000/(1.73*K65)</f>
        <v>0</v>
      </c>
      <c r="L79" s="501">
        <v>0</v>
      </c>
      <c r="M79" s="502">
        <v>0</v>
      </c>
      <c r="N79" s="500">
        <f>SQRT(O79^2+P79^2)*1000/(1.73*N65)</f>
        <v>0</v>
      </c>
      <c r="O79" s="501">
        <v>0</v>
      </c>
      <c r="P79" s="502">
        <v>0</v>
      </c>
      <c r="Q79" s="500">
        <f>SQRT(R79^2+S79^2)*1000/(1.73*Q65)</f>
        <v>0</v>
      </c>
      <c r="R79" s="501">
        <v>0</v>
      </c>
      <c r="S79" s="502">
        <v>0</v>
      </c>
      <c r="T79" s="500">
        <f>SQRT(U79^2+V79^2)*1000/(1.73*T65)</f>
        <v>0</v>
      </c>
      <c r="U79" s="501">
        <v>0</v>
      </c>
      <c r="V79" s="502">
        <v>0</v>
      </c>
      <c r="W79" s="500">
        <f>SQRT(X79^2+Y79^2)*1000/(1.73*W65)</f>
        <v>0</v>
      </c>
      <c r="X79" s="501">
        <v>0</v>
      </c>
      <c r="Y79" s="502">
        <v>0</v>
      </c>
      <c r="Z79" s="500">
        <f>SQRT(AA79^2+AB79^2)*1000/(1.73*Z65)</f>
        <v>0</v>
      </c>
      <c r="AA79" s="501">
        <v>0</v>
      </c>
      <c r="AB79" s="502">
        <v>0</v>
      </c>
      <c r="AC79" s="500">
        <f>SQRT(AD79^2+AE79^2)*1000/(1.73*AC65)</f>
        <v>0</v>
      </c>
      <c r="AD79" s="501">
        <v>0</v>
      </c>
      <c r="AE79" s="502">
        <v>0</v>
      </c>
      <c r="AF79" s="500">
        <f>SQRT(AG79^2+AH79^2)*1000/(1.73*AF65)</f>
        <v>0</v>
      </c>
      <c r="AG79" s="501">
        <v>0</v>
      </c>
      <c r="AH79" s="502">
        <v>0</v>
      </c>
      <c r="AI79" s="500">
        <f>SQRT(AJ79^2+AK79^2)*1000/(1.73*AI65)</f>
        <v>0</v>
      </c>
      <c r="AJ79" s="501">
        <v>0</v>
      </c>
      <c r="AK79" s="502">
        <v>0</v>
      </c>
      <c r="AL79" s="500">
        <f>SQRT(AM79^2+AN79^2)*1000/(1.73*AL65)</f>
        <v>0</v>
      </c>
      <c r="AM79" s="501">
        <v>0</v>
      </c>
      <c r="AN79" s="502">
        <v>0</v>
      </c>
      <c r="AO79" s="500">
        <f>SQRT(AP79^2+AQ79^2)*1000/(1.73*AO65)</f>
        <v>0</v>
      </c>
      <c r="AP79" s="501">
        <v>0</v>
      </c>
      <c r="AQ79" s="502">
        <v>0</v>
      </c>
    </row>
    <row r="80" spans="1:55" ht="16.5" x14ac:dyDescent="0.25">
      <c r="A80" s="493" t="s">
        <v>2144</v>
      </c>
      <c r="B80" s="494" t="s">
        <v>2145</v>
      </c>
      <c r="C80" s="495"/>
      <c r="D80" s="496"/>
      <c r="E80" s="497"/>
      <c r="F80" s="498"/>
      <c r="G80" s="499"/>
      <c r="H80" s="503">
        <f>SQRT(I80^2+J80^2)*1000/(1.73*H63)</f>
        <v>135.79758469815022</v>
      </c>
      <c r="I80" s="504">
        <v>1.7136</v>
      </c>
      <c r="J80" s="505">
        <v>1.7744000000000002</v>
      </c>
      <c r="K80" s="503">
        <f>SQRT(L80^2+M80^2)*1000/(1.73*K63)</f>
        <v>140.16356215947349</v>
      </c>
      <c r="L80" s="504">
        <v>1.7648000000000001</v>
      </c>
      <c r="M80" s="505">
        <v>1.8351999999999997</v>
      </c>
      <c r="N80" s="503">
        <f>SQRT(O80^2+P80^2)*1000/(1.73*N63)</f>
        <v>133.59822925877958</v>
      </c>
      <c r="O80" s="504">
        <v>1.7231999999999998</v>
      </c>
      <c r="P80" s="505">
        <v>1.7088000000000001</v>
      </c>
      <c r="Q80" s="503">
        <f>SQRT(R80^2+S80^2)*1000/(1.73*Q63)</f>
        <v>138.83498711038823</v>
      </c>
      <c r="R80" s="504">
        <v>1.7664000000000002</v>
      </c>
      <c r="S80" s="505">
        <v>1.8</v>
      </c>
      <c r="T80" s="503">
        <f>SQRT(U80^2+V80^2)*1000/(1.73*T63)</f>
        <v>117.78973374723397</v>
      </c>
      <c r="U80" s="504">
        <v>1.5984</v>
      </c>
      <c r="V80" s="505">
        <v>1.4224000000000001</v>
      </c>
      <c r="W80" s="503">
        <f>SQRT(X80^2+Y80^2)*1000/(1.73*W63)</f>
        <v>117.04361103174456</v>
      </c>
      <c r="X80" s="504">
        <v>1.5888000000000002</v>
      </c>
      <c r="Y80" s="505">
        <v>1.4128000000000003</v>
      </c>
      <c r="Z80" s="503">
        <f>SQRT(AA80^2+AB80^2)*1000/(1.73*Z63)</f>
        <v>95.482147537250384</v>
      </c>
      <c r="AA80" s="504">
        <v>1.288</v>
      </c>
      <c r="AB80" s="505">
        <v>1.1616</v>
      </c>
      <c r="AC80" s="503">
        <f>SQRT(AD80^2+AE80^2)*1000/(1.73*AC63)</f>
        <v>123.19210673103206</v>
      </c>
      <c r="AD80" s="504">
        <v>1.5327999999999999</v>
      </c>
      <c r="AE80" s="505">
        <v>1.6304000000000001</v>
      </c>
      <c r="AF80" s="503">
        <f>SQRT(AG80^2+AH80^2)*1000/(1.73*AF63)</f>
        <v>109.13006876234249</v>
      </c>
      <c r="AG80" s="504">
        <v>1.4208000000000001</v>
      </c>
      <c r="AH80" s="505">
        <v>1.3824000000000001</v>
      </c>
      <c r="AI80" s="503">
        <f>SQRT(AJ80^2+AK80^2)*1000/(1.73*AI63)</f>
        <v>117.72437647819693</v>
      </c>
      <c r="AJ80" s="504">
        <v>1.4927999999999999</v>
      </c>
      <c r="AK80" s="505">
        <v>1.5312000000000001</v>
      </c>
      <c r="AL80" s="503">
        <f>SQRT(AM80^2+AN80^2)*1000/(1.73*AL63)</f>
        <v>99.649426947549287</v>
      </c>
      <c r="AM80" s="504">
        <v>1.3232000000000002</v>
      </c>
      <c r="AN80" s="505">
        <v>1.2352000000000001</v>
      </c>
      <c r="AO80" s="503">
        <f>SQRT(AP80^2+AQ80^2)*1000/(1.73*AO63)</f>
        <v>100.41203200320236</v>
      </c>
      <c r="AP80" s="504">
        <v>1.3552</v>
      </c>
      <c r="AQ80" s="505">
        <v>1.2207999999999999</v>
      </c>
    </row>
    <row r="81" spans="1:45" ht="16.5" x14ac:dyDescent="0.25">
      <c r="A81" s="493" t="s">
        <v>2146</v>
      </c>
      <c r="B81" s="494" t="s">
        <v>2147</v>
      </c>
      <c r="C81" s="495"/>
      <c r="D81" s="496"/>
      <c r="E81" s="497"/>
      <c r="F81" s="498"/>
      <c r="G81" s="499"/>
      <c r="H81" s="503">
        <f>SQRT(I81^2+J81^2)*1000/(1.73*H69)</f>
        <v>11.030820188334202</v>
      </c>
      <c r="I81" s="504">
        <v>0.19080000000000003</v>
      </c>
      <c r="J81" s="505">
        <v>6.1200000000000004E-2</v>
      </c>
      <c r="K81" s="503">
        <f>SQRT(L81^2+M81^2)*1000/(1.73*K69)</f>
        <v>11.574463899913537</v>
      </c>
      <c r="L81" s="504">
        <v>0.20039999999999999</v>
      </c>
      <c r="M81" s="505">
        <v>6.359999999999999E-2</v>
      </c>
      <c r="N81" s="503">
        <f>SQRT(O81^2+P81^2)*1000/(1.73*N69)</f>
        <v>13.016720393220833</v>
      </c>
      <c r="O81" s="504">
        <v>0.22560000000000002</v>
      </c>
      <c r="P81" s="505">
        <v>7.0800000000000016E-2</v>
      </c>
      <c r="Q81" s="503">
        <f>SQRT(R81^2+S81^2)*1000/(1.73*Q69)</f>
        <v>12.555955612715582</v>
      </c>
      <c r="R81" s="504">
        <v>0.21719999999999998</v>
      </c>
      <c r="S81" s="505">
        <v>6.9599999999999995E-2</v>
      </c>
      <c r="T81" s="503">
        <f>SQRT(U81^2+V81^2)*1000/(1.73*T69)</f>
        <v>10.975292911113101</v>
      </c>
      <c r="U81" s="504">
        <v>0.19319999999999998</v>
      </c>
      <c r="V81" s="505">
        <v>4.9200000000000001E-2</v>
      </c>
      <c r="W81" s="503">
        <f>SQRT(X81^2+Y81^2)*1000/(1.73*W69)</f>
        <v>10.784361828118586</v>
      </c>
      <c r="X81" s="504">
        <v>0.19080000000000003</v>
      </c>
      <c r="Y81" s="505">
        <v>4.4400000000000009E-2</v>
      </c>
      <c r="Z81" s="503">
        <f>SQRT(AA81^2+AB81^2)*1000/(1.73*Z69)</f>
        <v>12.17909554384565</v>
      </c>
      <c r="AA81" s="504">
        <v>0.21</v>
      </c>
      <c r="AB81" s="505">
        <v>6.9599999999999995E-2</v>
      </c>
      <c r="AC81" s="503">
        <f>SQRT(AD81^2+AE81^2)*1000/(1.73*AC69)</f>
        <v>12.264080295260428</v>
      </c>
      <c r="AD81" s="504">
        <v>0.21239999999999998</v>
      </c>
      <c r="AE81" s="505">
        <v>6.720000000000001E-2</v>
      </c>
      <c r="AF81" s="503">
        <f>SQRT(AG81^2+AH81^2)*1000/(1.73*AF69)</f>
        <v>10.462919803306734</v>
      </c>
      <c r="AG81" s="504">
        <v>0.18480000000000002</v>
      </c>
      <c r="AH81" s="505">
        <v>4.4400000000000009E-2</v>
      </c>
      <c r="AI81" s="503">
        <f>SQRT(AJ81^2+AK81^2)*1000/(1.73*AI69)</f>
        <v>10.863788636523452</v>
      </c>
      <c r="AJ81" s="504">
        <v>0.192</v>
      </c>
      <c r="AK81" s="505">
        <v>4.5600000000000002E-2</v>
      </c>
      <c r="AL81" s="503">
        <f>SQRT(AM81^2+AN81^2)*1000/(1.73*AL69)</f>
        <v>10.735285517831546</v>
      </c>
      <c r="AM81" s="504">
        <v>0.18960000000000002</v>
      </c>
      <c r="AN81" s="505">
        <v>4.5600000000000002E-2</v>
      </c>
      <c r="AO81" s="503">
        <f>SQRT(AP81^2+AQ81^2)*1000/(1.73*AO69)</f>
        <v>11.472781227340892</v>
      </c>
      <c r="AP81" s="504">
        <v>0.20280000000000001</v>
      </c>
      <c r="AQ81" s="505">
        <v>4.8000000000000001E-2</v>
      </c>
    </row>
    <row r="82" spans="1:45" ht="16.5" x14ac:dyDescent="0.25">
      <c r="A82" s="493" t="s">
        <v>2148</v>
      </c>
      <c r="B82" s="494" t="s">
        <v>2149</v>
      </c>
      <c r="C82" s="495"/>
      <c r="D82" s="496"/>
      <c r="E82" s="497"/>
      <c r="F82" s="498"/>
      <c r="G82" s="499"/>
      <c r="H82" s="503">
        <f>SQRT(I82^2+J82^$C59)*1000/(1.73*H69)</f>
        <v>42.829617396091407</v>
      </c>
      <c r="I82" s="504">
        <v>0.77800000000000002</v>
      </c>
      <c r="J82" s="505">
        <v>0.246</v>
      </c>
      <c r="K82" s="503">
        <f>SQRT(L82^2+M82^$C59)*1000/(1.73*K69)</f>
        <v>46.022570878062368</v>
      </c>
      <c r="L82" s="504">
        <v>0.83599999999999997</v>
      </c>
      <c r="M82" s="505">
        <v>0.2676</v>
      </c>
      <c r="N82" s="503">
        <f>SQRT(O82^2+P82^$C59)*1000/(1.73*N69)</f>
        <v>48.995320671623475</v>
      </c>
      <c r="O82" s="504">
        <v>0.89</v>
      </c>
      <c r="P82" s="505">
        <v>0.29799999999999999</v>
      </c>
      <c r="Q82" s="503">
        <f>SQRT(R82^2+S82^$C59)*1000/(1.73*Q69)</f>
        <v>50.272502064411412</v>
      </c>
      <c r="R82" s="504">
        <v>0.91320000000000001</v>
      </c>
      <c r="S82" s="505">
        <v>0.29599999999999999</v>
      </c>
      <c r="T82" s="503">
        <f>SQRT(U82^2+V82^$C59)*1000/(1.73*T69)</f>
        <v>46.925406000550772</v>
      </c>
      <c r="U82" s="504">
        <v>0.85239999999999994</v>
      </c>
      <c r="V82" s="505">
        <v>0.27320000000000005</v>
      </c>
      <c r="W82" s="503">
        <f>SQRT(X82^2+Y82^$C59)*1000/(1.73*W69)</f>
        <v>46.330856041838743</v>
      </c>
      <c r="X82" s="504">
        <v>0.8415999999999999</v>
      </c>
      <c r="Y82" s="505">
        <v>0.25440000000000002</v>
      </c>
      <c r="Z82" s="503">
        <f>SQRT(AA82^2+AB82^$C59)*1000/(1.73*Z69)</f>
        <v>45.141756124415096</v>
      </c>
      <c r="AA82" s="504">
        <v>0.82</v>
      </c>
      <c r="AB82" s="505">
        <v>0.2452</v>
      </c>
      <c r="AC82" s="503">
        <f>SQRT(AD82^2+AE82^$C59)*1000/(1.73*AC69)</f>
        <v>44.216900633085615</v>
      </c>
      <c r="AD82" s="504">
        <v>0.80320000000000003</v>
      </c>
      <c r="AE82" s="505">
        <v>0.23799999999999999</v>
      </c>
      <c r="AF82" s="503">
        <f>SQRT(AG82^2+AH82^$C59)*1000/(1.73*AF69)</f>
        <v>42.124965593173691</v>
      </c>
      <c r="AG82" s="504">
        <v>0.76519999999999999</v>
      </c>
      <c r="AH82" s="505">
        <v>0.22800000000000001</v>
      </c>
      <c r="AI82" s="503">
        <f>SQRT(AJ82^2+AK82^$C59)*1000/(1.73*AI69)</f>
        <v>41.530415634461882</v>
      </c>
      <c r="AJ82" s="504">
        <v>0.75440000000000007</v>
      </c>
      <c r="AK82" s="505">
        <v>0.22760000000000002</v>
      </c>
      <c r="AL82" s="503">
        <f>SQRT(AM82^2+AN82^$C59)*1000/(1.73*AL69)</f>
        <v>40.473437930085332</v>
      </c>
      <c r="AM82" s="504">
        <v>0.73520000000000008</v>
      </c>
      <c r="AN82" s="505">
        <v>0.22519999999999998</v>
      </c>
      <c r="AO82" s="503">
        <f>SQRT(AP82^2+AQ82^$C59)*1000/(1.73*AO69)</f>
        <v>38.359482521332232</v>
      </c>
      <c r="AP82" s="504">
        <v>0.69679999999999997</v>
      </c>
      <c r="AQ82" s="505">
        <v>0.21919999999999998</v>
      </c>
    </row>
    <row r="83" spans="1:45" ht="16.5" x14ac:dyDescent="0.25">
      <c r="A83" s="493" t="s">
        <v>2150</v>
      </c>
      <c r="B83" s="494" t="s">
        <v>2151</v>
      </c>
      <c r="C83" s="495"/>
      <c r="D83" s="496"/>
      <c r="E83" s="497"/>
      <c r="F83" s="498"/>
      <c r="G83" s="499"/>
      <c r="H83" s="503">
        <f>SQRT(I83^2+J83^2)*1000/(1.73*H69)</f>
        <v>148.77753849111255</v>
      </c>
      <c r="I83" s="504">
        <v>1.9824000000000002</v>
      </c>
      <c r="J83" s="505">
        <v>1.8368000000000002</v>
      </c>
      <c r="K83" s="503">
        <f>SQRT(L83^2+M83^2)*1000/(1.73*K69)</f>
        <v>148.66277017378556</v>
      </c>
      <c r="L83" s="504">
        <v>1.984</v>
      </c>
      <c r="M83" s="505">
        <v>1.8320000000000001</v>
      </c>
      <c r="N83" s="503">
        <f>SQRT(O83^2+P83^2)*1000/(1.73*N69)</f>
        <v>149.83324345678722</v>
      </c>
      <c r="O83" s="504">
        <v>1.9952000000000001</v>
      </c>
      <c r="P83" s="505">
        <v>1.8512</v>
      </c>
      <c r="Q83" s="503">
        <f>SQRT(R83^2+S83^2)*1000/(1.73*Q69)</f>
        <v>145.54612946744018</v>
      </c>
      <c r="R83" s="504">
        <v>1.9424000000000001</v>
      </c>
      <c r="S83" s="505">
        <v>1.7935999999999999</v>
      </c>
      <c r="T83" s="503">
        <f>SQRT(U83^2+V83^2)*1000/(1.73*T69)</f>
        <v>146.49228411938188</v>
      </c>
      <c r="U83" s="504">
        <v>1.9584000000000001</v>
      </c>
      <c r="V83" s="505">
        <v>1.8015999999999999</v>
      </c>
      <c r="W83" s="503">
        <f>SQRT(X83^2+Y83^2)*1000/(1.73*W69)</f>
        <v>144.5605936104854</v>
      </c>
      <c r="X83" s="504">
        <v>1.9327999999999999</v>
      </c>
      <c r="Y83" s="505">
        <v>1.7775999999999998</v>
      </c>
      <c r="Z83" s="503">
        <f>SQRT(AA83^2+AB83^2)*1000/(1.73*Z69)</f>
        <v>134.60077217046177</v>
      </c>
      <c r="AA83" s="504">
        <v>1.8192000000000002</v>
      </c>
      <c r="AB83" s="505">
        <v>1.6335999999999999</v>
      </c>
      <c r="AC83" s="503">
        <f>SQRT(AD83^2+AE83^2)*1000/(1.73*AC69)</f>
        <v>135.08933290285589</v>
      </c>
      <c r="AD83" s="504">
        <v>1.8368</v>
      </c>
      <c r="AE83" s="505">
        <v>1.6271999999999998</v>
      </c>
      <c r="AF83" s="503">
        <f>SQRT(AG83^2+AH83^2)*1000/(1.73*AF69)</f>
        <v>136.99297450339736</v>
      </c>
      <c r="AG83" s="504">
        <v>1.8688</v>
      </c>
      <c r="AH83" s="505">
        <v>1.6432</v>
      </c>
      <c r="AI83" s="503">
        <f>SQRT(AJ83^2+AK83^2)*1000/(1.73*AI69)</f>
        <v>139.25711897006789</v>
      </c>
      <c r="AJ83" s="504">
        <v>1.9136</v>
      </c>
      <c r="AK83" s="505">
        <v>1.6544000000000001</v>
      </c>
      <c r="AL83" s="503">
        <f>SQRT(AM83^2+AN83^2)*1000/(1.73*AL69)</f>
        <v>139.74377983467588</v>
      </c>
      <c r="AM83" s="504">
        <v>1.9072</v>
      </c>
      <c r="AN83" s="505">
        <v>1.6751999999999998</v>
      </c>
      <c r="AO83" s="503">
        <f>SQRT(AP83^2+AQ83^2)*1000/(1.73*AO69)</f>
        <v>140.19486027276687</v>
      </c>
      <c r="AP83" s="504">
        <v>1.9039999999999999</v>
      </c>
      <c r="AQ83" s="505">
        <v>1.6911999999999998</v>
      </c>
    </row>
    <row r="84" spans="1:45" ht="16.5" x14ac:dyDescent="0.25">
      <c r="A84" s="506"/>
      <c r="B84" s="494" t="s">
        <v>2152</v>
      </c>
      <c r="C84" s="495"/>
      <c r="D84" s="507"/>
      <c r="E84" s="508"/>
      <c r="F84" s="509"/>
      <c r="G84" s="510"/>
      <c r="H84" s="511">
        <f>SQRT(I84^2+J84^2)*1000/(1.73*H63)</f>
        <v>1.9573661192158305</v>
      </c>
      <c r="I84" s="512">
        <v>3.2000000000000001E-2</v>
      </c>
      <c r="J84" s="505">
        <v>1.5498307354811282E-2</v>
      </c>
      <c r="K84" s="511">
        <f>SQRT(L84^2+M84^2)*1000/(1.73*K63)</f>
        <v>1.9573661192158305</v>
      </c>
      <c r="L84" s="512">
        <v>3.2000000000000001E-2</v>
      </c>
      <c r="M84" s="505">
        <v>1.5498307354811282E-2</v>
      </c>
      <c r="N84" s="511">
        <f>SQRT(O84^2+P84^2)*1000/(1.73*N63)</f>
        <v>1.9573661192158305</v>
      </c>
      <c r="O84" s="512">
        <v>3.2000000000000001E-2</v>
      </c>
      <c r="P84" s="505">
        <v>1.5498307354811282E-2</v>
      </c>
      <c r="Q84" s="511">
        <f>SQRT(R84^2+S84^2)*1000/(1.73*Q63)</f>
        <v>2.9360491788237457</v>
      </c>
      <c r="R84" s="512">
        <v>4.8000000000000001E-2</v>
      </c>
      <c r="S84" s="505">
        <v>2.3247461032216924E-2</v>
      </c>
      <c r="T84" s="511">
        <f>SQRT(U84^2+V84^2)*1000/(1.73*T63)</f>
        <v>0.97868305960791524</v>
      </c>
      <c r="U84" s="512">
        <v>1.6E-2</v>
      </c>
      <c r="V84" s="505">
        <v>7.7491536774056411E-3</v>
      </c>
      <c r="W84" s="511">
        <f>SQRT(X84^2+Y84^2)*1000/(1.73*W63)</f>
        <v>3.914732238431661</v>
      </c>
      <c r="X84" s="512">
        <v>6.4000000000000001E-2</v>
      </c>
      <c r="Y84" s="505">
        <v>3.0996614709622564E-2</v>
      </c>
      <c r="Z84" s="511">
        <f>SQRT(AA84^2+AB84^2)*1000/(1.73*Z63)</f>
        <v>1.9573661192158305</v>
      </c>
      <c r="AA84" s="512">
        <v>3.2000000000000001E-2</v>
      </c>
      <c r="AB84" s="505">
        <v>1.5498307354811282E-2</v>
      </c>
      <c r="AC84" s="511">
        <f>SQRT(AD84^2+AE84^2)*1000/(1.73*AC63)</f>
        <v>2.4467076490197877</v>
      </c>
      <c r="AD84" s="512">
        <v>0.04</v>
      </c>
      <c r="AE84" s="505">
        <v>1.9372884193514101E-2</v>
      </c>
      <c r="AF84" s="511">
        <f>SQRT(AG84^2+AH84^2)*1000/(1.73*AF63)</f>
        <v>1.9573661192158305</v>
      </c>
      <c r="AG84" s="512">
        <v>3.2000000000000001E-2</v>
      </c>
      <c r="AH84" s="505">
        <v>1.5498307354811282E-2</v>
      </c>
      <c r="AI84" s="511">
        <f>SQRT(AJ84^2+AK84^2)*1000/(1.73*AI63)</f>
        <v>2.4467076490197877</v>
      </c>
      <c r="AJ84" s="512">
        <v>0.04</v>
      </c>
      <c r="AK84" s="505">
        <v>1.9372884193514101E-2</v>
      </c>
      <c r="AL84" s="511">
        <f>SQRT(AM84^2+AN84^2)*1000/(1.73*AL63)</f>
        <v>1.9573661192158305</v>
      </c>
      <c r="AM84" s="512">
        <v>3.2000000000000001E-2</v>
      </c>
      <c r="AN84" s="505">
        <v>1.5498307354811282E-2</v>
      </c>
      <c r="AO84" s="511">
        <f>SQRT(AP84^2+AQ84^2)*1000/(1.73*AO63)</f>
        <v>1.9573661192158305</v>
      </c>
      <c r="AP84" s="512">
        <v>3.2000000000000001E-2</v>
      </c>
      <c r="AQ84" s="505">
        <v>1.5498307354811282E-2</v>
      </c>
    </row>
    <row r="85" spans="1:45" ht="17.25" thickBot="1" x14ac:dyDescent="0.3">
      <c r="A85" s="513"/>
      <c r="B85" s="514" t="s">
        <v>2153</v>
      </c>
      <c r="C85" s="515"/>
      <c r="D85" s="516"/>
      <c r="E85" s="508"/>
      <c r="F85" s="517"/>
      <c r="G85" s="518"/>
      <c r="H85" s="519">
        <f>SQRT(I85^2+J85^2)*1000/(1.73*H69)</f>
        <v>0.48934152980395762</v>
      </c>
      <c r="I85" s="520">
        <v>8.0000000000000002E-3</v>
      </c>
      <c r="J85" s="521">
        <v>3.8745768387028205E-3</v>
      </c>
      <c r="K85" s="519">
        <f>SQRT(L85^2+M85^2)*1000/(1.73*K69)</f>
        <v>0.48934152980395762</v>
      </c>
      <c r="L85" s="520">
        <v>8.0000000000000002E-3</v>
      </c>
      <c r="M85" s="521">
        <v>3.8745768387028205E-3</v>
      </c>
      <c r="N85" s="519">
        <f>SQRT(O85^2+P85^2)*1000/(1.73*N69)</f>
        <v>0.48934152980395762</v>
      </c>
      <c r="O85" s="520">
        <v>8.0000000000000002E-3</v>
      </c>
      <c r="P85" s="521">
        <v>3.8745768387028205E-3</v>
      </c>
      <c r="Q85" s="519">
        <f>SQRT(R85^2+S85^2)*1000/(1.73*Q69)</f>
        <v>0.48934152980395762</v>
      </c>
      <c r="R85" s="520">
        <v>8.0000000000000002E-3</v>
      </c>
      <c r="S85" s="521">
        <v>3.8745768387028205E-3</v>
      </c>
      <c r="T85" s="522">
        <f>SQRT(U85^2+V85^2)*1000/(1.73*T69)</f>
        <v>0</v>
      </c>
      <c r="U85" s="523">
        <v>0</v>
      </c>
      <c r="V85" s="524">
        <v>0</v>
      </c>
      <c r="W85" s="511">
        <f>SQRT(X85^2+Y85^2)*1000/(1.73*W69)</f>
        <v>0.48934152980395762</v>
      </c>
      <c r="X85" s="512">
        <v>8.0000000000000002E-3</v>
      </c>
      <c r="Y85" s="505">
        <v>3.8745768387028205E-3</v>
      </c>
      <c r="Z85" s="519">
        <f>SQRT(AA85^2+AB85^2)*1000/(1.73*Z69)</f>
        <v>0.48934152980395762</v>
      </c>
      <c r="AA85" s="520">
        <v>8.0000000000000002E-3</v>
      </c>
      <c r="AB85" s="521">
        <v>3.8745768387028205E-3</v>
      </c>
      <c r="AC85" s="519">
        <f>SQRT(AD85^2+AE85^2)*1000/(1.73*AC69)</f>
        <v>0.48934152980395762</v>
      </c>
      <c r="AD85" s="520">
        <v>8.0000000000000002E-3</v>
      </c>
      <c r="AE85" s="521">
        <v>3.8745768387028205E-3</v>
      </c>
      <c r="AF85" s="519">
        <f>SQRT(AG85^2+AH85^2)*1000/(1.73*AF69)</f>
        <v>0.48934152980395762</v>
      </c>
      <c r="AG85" s="520">
        <v>8.0000000000000002E-3</v>
      </c>
      <c r="AH85" s="521">
        <v>3.8745768387028205E-3</v>
      </c>
      <c r="AI85" s="519">
        <f>SQRT(AJ85^2+AK85^2)*1000/(1.73*AI69)</f>
        <v>0.48934152980395762</v>
      </c>
      <c r="AJ85" s="520">
        <v>8.0000000000000002E-3</v>
      </c>
      <c r="AK85" s="521">
        <v>3.8745768387028205E-3</v>
      </c>
      <c r="AL85" s="522">
        <f>SQRT(AM85^2+AN85^2)*1000/(1.73*AL69)</f>
        <v>0</v>
      </c>
      <c r="AM85" s="523">
        <v>0</v>
      </c>
      <c r="AN85" s="524">
        <v>0</v>
      </c>
      <c r="AO85" s="503">
        <f>SQRT(AP85^2+AQ85^2)*1000/(1.73*AO69)</f>
        <v>0.48934152980395762</v>
      </c>
      <c r="AP85" s="504">
        <v>8.0000000000000002E-3</v>
      </c>
      <c r="AQ85" s="505">
        <v>3.8745768387028205E-3</v>
      </c>
    </row>
    <row r="86" spans="1:45" ht="16.5" x14ac:dyDescent="0.25">
      <c r="A86" s="1376" t="s">
        <v>2154</v>
      </c>
      <c r="B86" s="1377"/>
      <c r="C86" s="1377"/>
      <c r="D86" s="1377"/>
      <c r="E86" s="1377"/>
      <c r="F86" s="1377"/>
      <c r="G86" s="1378"/>
      <c r="H86" s="490">
        <f t="shared" ref="H86:AQ86" si="5">H78+H80+H84</f>
        <v>199.46111660520884</v>
      </c>
      <c r="I86" s="491">
        <f t="shared" si="5"/>
        <v>2.8256000000000001</v>
      </c>
      <c r="J86" s="492">
        <f t="shared" si="5"/>
        <v>2.0898983073548116</v>
      </c>
      <c r="K86" s="490">
        <f t="shared" si="5"/>
        <v>203.82709406653211</v>
      </c>
      <c r="L86" s="491">
        <f t="shared" si="5"/>
        <v>2.8768000000000002</v>
      </c>
      <c r="M86" s="492">
        <f t="shared" si="5"/>
        <v>2.1506983073548112</v>
      </c>
      <c r="N86" s="490">
        <f t="shared" si="5"/>
        <v>197.26176116583821</v>
      </c>
      <c r="O86" s="491">
        <f t="shared" si="5"/>
        <v>2.8351999999999999</v>
      </c>
      <c r="P86" s="492">
        <f t="shared" si="5"/>
        <v>2.0242983073548113</v>
      </c>
      <c r="Q86" s="490">
        <f t="shared" si="5"/>
        <v>224.3474194436298</v>
      </c>
      <c r="R86" s="491">
        <f t="shared" si="5"/>
        <v>3.2544000000000004</v>
      </c>
      <c r="S86" s="492">
        <f t="shared" si="5"/>
        <v>2.2432474610322171</v>
      </c>
      <c r="T86" s="490">
        <f t="shared" si="5"/>
        <v>190.90823404166122</v>
      </c>
      <c r="U86" s="491">
        <f t="shared" si="5"/>
        <v>2.8744000000000001</v>
      </c>
      <c r="V86" s="492">
        <f t="shared" si="5"/>
        <v>1.7901491536774057</v>
      </c>
      <c r="W86" s="490">
        <f t="shared" si="5"/>
        <v>215.54345351477642</v>
      </c>
      <c r="X86" s="491">
        <f t="shared" si="5"/>
        <v>3.3328000000000002</v>
      </c>
      <c r="Y86" s="492">
        <f t="shared" si="5"/>
        <v>1.8037966147096227</v>
      </c>
      <c r="Z86" s="490">
        <f t="shared" si="5"/>
        <v>172.76076386945635</v>
      </c>
      <c r="AA86" s="491">
        <f t="shared" si="5"/>
        <v>2.64</v>
      </c>
      <c r="AB86" s="492">
        <f t="shared" si="5"/>
        <v>1.5370983073548112</v>
      </c>
      <c r="AC86" s="490">
        <f t="shared" si="5"/>
        <v>194.60863442240066</v>
      </c>
      <c r="AD86" s="491">
        <f t="shared" si="5"/>
        <v>2.7728000000000002</v>
      </c>
      <c r="AE86" s="492">
        <f t="shared" si="5"/>
        <v>2.0097728841935143</v>
      </c>
      <c r="AF86" s="490">
        <f t="shared" si="5"/>
        <v>183.22725211637768</v>
      </c>
      <c r="AG86" s="491">
        <f t="shared" si="5"/>
        <v>2.7128000000000001</v>
      </c>
      <c r="AH86" s="492">
        <f t="shared" si="5"/>
        <v>1.7578983073548113</v>
      </c>
      <c r="AI86" s="490">
        <f t="shared" si="5"/>
        <v>192.31090136203608</v>
      </c>
      <c r="AJ86" s="491">
        <f t="shared" si="5"/>
        <v>2.7927999999999997</v>
      </c>
      <c r="AK86" s="492">
        <f t="shared" si="5"/>
        <v>1.9105728841935141</v>
      </c>
      <c r="AL86" s="490">
        <f t="shared" si="5"/>
        <v>152.88400098174455</v>
      </c>
      <c r="AM86" s="491">
        <f t="shared" si="5"/>
        <v>2.2552000000000003</v>
      </c>
      <c r="AN86" s="492">
        <f t="shared" si="5"/>
        <v>1.4906983073548115</v>
      </c>
      <c r="AO86" s="490">
        <f t="shared" si="5"/>
        <v>148.37563520642848</v>
      </c>
      <c r="AP86" s="491">
        <f t="shared" si="5"/>
        <v>2.1672000000000002</v>
      </c>
      <c r="AQ86" s="492">
        <f t="shared" si="5"/>
        <v>1.5362983073548113</v>
      </c>
      <c r="AR86" s="456"/>
      <c r="AS86" s="456"/>
    </row>
    <row r="87" spans="1:45" ht="17.25" thickBot="1" x14ac:dyDescent="0.3">
      <c r="A87" s="1379" t="s">
        <v>2155</v>
      </c>
      <c r="B87" s="1380"/>
      <c r="C87" s="1380"/>
      <c r="D87" s="1380"/>
      <c r="E87" s="1380"/>
      <c r="F87" s="1380"/>
      <c r="G87" s="1381"/>
      <c r="H87" s="519">
        <f t="shared" ref="H87:AQ87" si="6">H83+H82+H81+H79+H85</f>
        <v>203.12731760534211</v>
      </c>
      <c r="I87" s="520">
        <f t="shared" si="6"/>
        <v>2.9592000000000001</v>
      </c>
      <c r="J87" s="521">
        <f t="shared" si="6"/>
        <v>2.1478745768387029</v>
      </c>
      <c r="K87" s="519">
        <f t="shared" si="6"/>
        <v>206.74914648156542</v>
      </c>
      <c r="L87" s="520">
        <f t="shared" si="6"/>
        <v>3.0284</v>
      </c>
      <c r="M87" s="521">
        <f t="shared" si="6"/>
        <v>2.167074576838703</v>
      </c>
      <c r="N87" s="519">
        <f t="shared" si="6"/>
        <v>212.33462605143546</v>
      </c>
      <c r="O87" s="520">
        <f t="shared" si="6"/>
        <v>3.1188000000000002</v>
      </c>
      <c r="P87" s="521">
        <f t="shared" si="6"/>
        <v>2.2238745768387029</v>
      </c>
      <c r="Q87" s="519">
        <f t="shared" si="6"/>
        <v>208.86392867437115</v>
      </c>
      <c r="R87" s="520">
        <f t="shared" si="6"/>
        <v>3.0808</v>
      </c>
      <c r="S87" s="521">
        <f t="shared" si="6"/>
        <v>2.1630745768387025</v>
      </c>
      <c r="T87" s="519">
        <f t="shared" si="6"/>
        <v>204.39298303104573</v>
      </c>
      <c r="U87" s="520">
        <f t="shared" si="6"/>
        <v>3.004</v>
      </c>
      <c r="V87" s="521">
        <f t="shared" si="6"/>
        <v>2.1239999999999997</v>
      </c>
      <c r="W87" s="519">
        <f t="shared" si="6"/>
        <v>202.16515301024668</v>
      </c>
      <c r="X87" s="520">
        <f t="shared" si="6"/>
        <v>2.9731999999999998</v>
      </c>
      <c r="Y87" s="521">
        <f t="shared" si="6"/>
        <v>2.0802745768387028</v>
      </c>
      <c r="Z87" s="519">
        <f t="shared" si="6"/>
        <v>192.41096536852649</v>
      </c>
      <c r="AA87" s="520">
        <f t="shared" si="6"/>
        <v>2.8572000000000002</v>
      </c>
      <c r="AB87" s="521">
        <f t="shared" si="6"/>
        <v>1.9522745768387026</v>
      </c>
      <c r="AC87" s="519">
        <f t="shared" si="6"/>
        <v>192.05965536100589</v>
      </c>
      <c r="AD87" s="520">
        <f t="shared" si="6"/>
        <v>2.8604000000000003</v>
      </c>
      <c r="AE87" s="521">
        <f t="shared" si="6"/>
        <v>1.9362745768387024</v>
      </c>
      <c r="AF87" s="519">
        <f t="shared" si="6"/>
        <v>190.07020142968176</v>
      </c>
      <c r="AG87" s="520">
        <f t="shared" si="6"/>
        <v>2.8268</v>
      </c>
      <c r="AH87" s="521">
        <f t="shared" si="6"/>
        <v>1.9194745768387027</v>
      </c>
      <c r="AI87" s="519">
        <f t="shared" si="6"/>
        <v>192.1406647708572</v>
      </c>
      <c r="AJ87" s="520">
        <f t="shared" si="6"/>
        <v>2.8680000000000003</v>
      </c>
      <c r="AK87" s="521">
        <f t="shared" si="6"/>
        <v>1.9314745768387029</v>
      </c>
      <c r="AL87" s="519">
        <f t="shared" si="6"/>
        <v>190.95250328259277</v>
      </c>
      <c r="AM87" s="520">
        <f t="shared" si="6"/>
        <v>2.8320000000000003</v>
      </c>
      <c r="AN87" s="521">
        <f t="shared" si="6"/>
        <v>1.946</v>
      </c>
      <c r="AO87" s="519">
        <f t="shared" si="6"/>
        <v>190.51646555124398</v>
      </c>
      <c r="AP87" s="520">
        <f t="shared" si="6"/>
        <v>2.8115999999999999</v>
      </c>
      <c r="AQ87" s="521">
        <f t="shared" si="6"/>
        <v>1.9622745768387027</v>
      </c>
      <c r="AR87" s="456"/>
      <c r="AS87" s="456"/>
    </row>
    <row r="88" spans="1:45" ht="17.25" thickBot="1" x14ac:dyDescent="0.3">
      <c r="A88" s="1382" t="s">
        <v>2156</v>
      </c>
      <c r="B88" s="1383"/>
      <c r="C88" s="1383"/>
      <c r="D88" s="1383"/>
      <c r="E88" s="1383"/>
      <c r="F88" s="1383"/>
      <c r="G88" s="1383"/>
      <c r="H88" s="525">
        <f>H86+H87</f>
        <v>402.58843421055099</v>
      </c>
      <c r="I88" s="526">
        <f t="shared" ref="I88:AM88" si="7">I86+I87</f>
        <v>5.7848000000000006</v>
      </c>
      <c r="J88" s="527">
        <f t="shared" si="7"/>
        <v>4.2377728841935145</v>
      </c>
      <c r="K88" s="525">
        <f t="shared" si="7"/>
        <v>410.57624054809753</v>
      </c>
      <c r="L88" s="526">
        <f t="shared" si="7"/>
        <v>5.9052000000000007</v>
      </c>
      <c r="M88" s="527">
        <f t="shared" si="7"/>
        <v>4.3177728841935146</v>
      </c>
      <c r="N88" s="525">
        <f t="shared" si="7"/>
        <v>409.59638721727367</v>
      </c>
      <c r="O88" s="526">
        <f t="shared" si="7"/>
        <v>5.9540000000000006</v>
      </c>
      <c r="P88" s="527">
        <f t="shared" si="7"/>
        <v>4.2481728841935142</v>
      </c>
      <c r="Q88" s="525">
        <f t="shared" si="7"/>
        <v>433.21134811800096</v>
      </c>
      <c r="R88" s="526">
        <f t="shared" si="7"/>
        <v>6.3352000000000004</v>
      </c>
      <c r="S88" s="527">
        <f t="shared" si="7"/>
        <v>4.40632203787092</v>
      </c>
      <c r="T88" s="525">
        <f t="shared" si="7"/>
        <v>395.30121707270695</v>
      </c>
      <c r="U88" s="526">
        <f t="shared" si="7"/>
        <v>5.8784000000000001</v>
      </c>
      <c r="V88" s="527">
        <f t="shared" si="7"/>
        <v>3.9141491536774051</v>
      </c>
      <c r="W88" s="525">
        <f t="shared" si="7"/>
        <v>417.70860652502313</v>
      </c>
      <c r="X88" s="526">
        <f t="shared" si="7"/>
        <v>6.306</v>
      </c>
      <c r="Y88" s="527">
        <f t="shared" si="7"/>
        <v>3.8840711915483253</v>
      </c>
      <c r="Z88" s="525">
        <f t="shared" si="7"/>
        <v>365.17172923798285</v>
      </c>
      <c r="AA88" s="526">
        <f t="shared" si="7"/>
        <v>5.4972000000000003</v>
      </c>
      <c r="AB88" s="527">
        <f t="shared" si="7"/>
        <v>3.4893728841935139</v>
      </c>
      <c r="AC88" s="525">
        <f t="shared" si="7"/>
        <v>386.66828978340652</v>
      </c>
      <c r="AD88" s="526">
        <f t="shared" si="7"/>
        <v>5.6332000000000004</v>
      </c>
      <c r="AE88" s="527">
        <f t="shared" si="7"/>
        <v>3.9460474610322169</v>
      </c>
      <c r="AF88" s="525">
        <f t="shared" si="7"/>
        <v>373.29745354605944</v>
      </c>
      <c r="AG88" s="526">
        <f t="shared" si="7"/>
        <v>5.5396000000000001</v>
      </c>
      <c r="AH88" s="527">
        <f t="shared" si="7"/>
        <v>3.677372884193514</v>
      </c>
      <c r="AI88" s="525">
        <f t="shared" si="7"/>
        <v>384.45156613289328</v>
      </c>
      <c r="AJ88" s="526">
        <f t="shared" si="7"/>
        <v>5.6608000000000001</v>
      </c>
      <c r="AK88" s="527">
        <f t="shared" si="7"/>
        <v>3.8420474610322168</v>
      </c>
      <c r="AL88" s="525">
        <f t="shared" si="7"/>
        <v>343.83650426433735</v>
      </c>
      <c r="AM88" s="526">
        <f t="shared" si="7"/>
        <v>5.0872000000000011</v>
      </c>
      <c r="AN88" s="527">
        <f>AN86+AN87</f>
        <v>3.4366983073548116</v>
      </c>
      <c r="AO88" s="525">
        <f>AO86+AO87</f>
        <v>338.89210075767244</v>
      </c>
      <c r="AP88" s="526">
        <f>AP86+AP87</f>
        <v>4.9787999999999997</v>
      </c>
      <c r="AQ88" s="527">
        <f>AQ86+AQ87</f>
        <v>3.4985728841935142</v>
      </c>
    </row>
    <row r="89" spans="1:45" ht="16.5" hidden="1" x14ac:dyDescent="0.25">
      <c r="A89" s="528"/>
      <c r="B89" s="438"/>
      <c r="C89" s="474"/>
      <c r="D89" s="476"/>
      <c r="E89" s="477"/>
      <c r="F89" s="476"/>
      <c r="G89" s="477"/>
      <c r="H89" s="478"/>
      <c r="I89" s="476"/>
      <c r="J89" s="476"/>
      <c r="K89" s="478"/>
      <c r="L89" s="476"/>
      <c r="M89" s="476"/>
      <c r="N89" s="478"/>
      <c r="O89" s="476"/>
      <c r="P89" s="476"/>
      <c r="Q89" s="478"/>
      <c r="R89" s="476"/>
      <c r="S89" s="476"/>
      <c r="T89" s="478"/>
      <c r="U89" s="476"/>
      <c r="V89" s="476"/>
      <c r="W89" s="478"/>
      <c r="X89" s="476"/>
      <c r="Y89" s="476"/>
      <c r="Z89" s="478"/>
      <c r="AA89" s="476"/>
      <c r="AB89" s="476"/>
      <c r="AC89" s="478"/>
      <c r="AD89" s="476"/>
      <c r="AE89" s="476"/>
      <c r="AF89" s="478"/>
      <c r="AG89" s="476"/>
      <c r="AH89" s="476"/>
      <c r="AI89" s="478"/>
      <c r="AJ89" s="476"/>
      <c r="AK89" s="476"/>
      <c r="AL89" s="478"/>
      <c r="AM89" s="476"/>
      <c r="AN89" s="476"/>
      <c r="AO89" s="478"/>
      <c r="AP89" s="476"/>
      <c r="AQ89" s="476"/>
    </row>
    <row r="90" spans="1:45" ht="16.5" hidden="1" x14ac:dyDescent="0.25">
      <c r="A90" s="529" t="s">
        <v>2157</v>
      </c>
      <c r="B90" s="438"/>
      <c r="C90" s="438"/>
      <c r="D90" s="438"/>
      <c r="E90" s="438"/>
      <c r="F90" s="438"/>
      <c r="G90" s="438"/>
      <c r="H90" s="532"/>
      <c r="I90" s="532"/>
      <c r="J90" s="532"/>
      <c r="K90" s="532"/>
      <c r="L90" s="532"/>
      <c r="M90" s="532"/>
      <c r="N90" s="532"/>
      <c r="O90" s="532"/>
      <c r="P90" s="532"/>
      <c r="Q90" s="532"/>
      <c r="R90" s="532"/>
      <c r="S90" s="532"/>
      <c r="T90" s="532"/>
      <c r="U90" s="532"/>
      <c r="V90" s="532"/>
      <c r="W90" s="532"/>
      <c r="X90" s="532"/>
      <c r="Y90" s="532"/>
      <c r="Z90" s="532"/>
      <c r="AA90" s="532"/>
      <c r="AB90" s="532"/>
      <c r="AC90" s="532"/>
      <c r="AD90" s="532"/>
      <c r="AE90" s="532"/>
      <c r="AF90" s="532"/>
      <c r="AG90" s="532"/>
      <c r="AH90" s="532"/>
      <c r="AI90" s="532"/>
      <c r="AJ90" s="532"/>
      <c r="AK90" s="532"/>
      <c r="AL90" s="532"/>
      <c r="AM90" s="532"/>
      <c r="AN90" s="532"/>
      <c r="AO90" s="532"/>
      <c r="AP90" s="532"/>
      <c r="AQ90" s="532"/>
    </row>
    <row r="91" spans="1:45" ht="16.5" hidden="1" x14ac:dyDescent="0.25">
      <c r="A91" s="1358" t="s">
        <v>12</v>
      </c>
      <c r="B91" s="533" t="s">
        <v>2158</v>
      </c>
      <c r="C91" s="534"/>
      <c r="D91" s="534" t="s">
        <v>2159</v>
      </c>
      <c r="E91" s="534"/>
      <c r="F91" s="534"/>
      <c r="G91" s="535"/>
      <c r="H91" s="536">
        <f>$C$43/1000</f>
        <v>2.3E-2</v>
      </c>
      <c r="I91" s="537" t="s">
        <v>2160</v>
      </c>
      <c r="J91" s="538">
        <f>$G$43/1000</f>
        <v>0.16250000000000001</v>
      </c>
      <c r="K91" s="536">
        <f>$C$43/1000</f>
        <v>2.3E-2</v>
      </c>
      <c r="L91" s="537" t="s">
        <v>2160</v>
      </c>
      <c r="M91" s="538">
        <f>$G$43/1000</f>
        <v>0.16250000000000001</v>
      </c>
      <c r="N91" s="536">
        <f>$C$43/1000</f>
        <v>2.3E-2</v>
      </c>
      <c r="O91" s="537" t="s">
        <v>2160</v>
      </c>
      <c r="P91" s="538">
        <f>$G$43/1000</f>
        <v>0.16250000000000001</v>
      </c>
      <c r="Q91" s="536">
        <f>$C$43/1000</f>
        <v>2.3E-2</v>
      </c>
      <c r="R91" s="537" t="s">
        <v>2160</v>
      </c>
      <c r="S91" s="538">
        <f>$G$43/1000</f>
        <v>0.16250000000000001</v>
      </c>
      <c r="T91" s="536">
        <f>$C$43/1000</f>
        <v>2.3E-2</v>
      </c>
      <c r="U91" s="537" t="s">
        <v>2160</v>
      </c>
      <c r="V91" s="538">
        <f>$G$43/1000</f>
        <v>0.16250000000000001</v>
      </c>
      <c r="W91" s="536">
        <f>$C$43/1000</f>
        <v>2.3E-2</v>
      </c>
      <c r="X91" s="537" t="s">
        <v>2160</v>
      </c>
      <c r="Y91" s="538">
        <f>$G$43/1000</f>
        <v>0.16250000000000001</v>
      </c>
      <c r="Z91" s="536">
        <f>$C$43/1000</f>
        <v>2.3E-2</v>
      </c>
      <c r="AA91" s="537" t="s">
        <v>2160</v>
      </c>
      <c r="AB91" s="538">
        <f>$G$43/1000</f>
        <v>0.16250000000000001</v>
      </c>
      <c r="AC91" s="536">
        <f>$C$43/1000</f>
        <v>2.3E-2</v>
      </c>
      <c r="AD91" s="537" t="s">
        <v>2160</v>
      </c>
      <c r="AE91" s="538">
        <f>$G$43/1000</f>
        <v>0.16250000000000001</v>
      </c>
      <c r="AF91" s="536">
        <f>$C$43/1000</f>
        <v>2.3E-2</v>
      </c>
      <c r="AG91" s="537" t="s">
        <v>2160</v>
      </c>
      <c r="AH91" s="538">
        <f>$G$43/1000</f>
        <v>0.16250000000000001</v>
      </c>
      <c r="AI91" s="536">
        <f>$C$43/1000</f>
        <v>2.3E-2</v>
      </c>
      <c r="AJ91" s="537" t="s">
        <v>2160</v>
      </c>
      <c r="AK91" s="538">
        <f>$G$43/1000</f>
        <v>0.16250000000000001</v>
      </c>
      <c r="AL91" s="536">
        <f>$C$43/1000</f>
        <v>2.3E-2</v>
      </c>
      <c r="AM91" s="537" t="s">
        <v>2160</v>
      </c>
      <c r="AN91" s="538">
        <f>$G$43/1000</f>
        <v>0.16250000000000001</v>
      </c>
      <c r="AO91" s="536">
        <f>$C$43/1000</f>
        <v>2.3E-2</v>
      </c>
      <c r="AP91" s="537" t="s">
        <v>2160</v>
      </c>
      <c r="AQ91" s="538">
        <f>$G$43/1000</f>
        <v>0.16250000000000001</v>
      </c>
    </row>
    <row r="92" spans="1:45" ht="17.25" hidden="1" thickBot="1" x14ac:dyDescent="0.3">
      <c r="A92" s="1359"/>
      <c r="B92" s="539" t="s">
        <v>2161</v>
      </c>
      <c r="C92" s="540"/>
      <c r="D92" s="540" t="s">
        <v>2162</v>
      </c>
      <c r="E92" s="540"/>
      <c r="F92" s="540"/>
      <c r="G92" s="541"/>
      <c r="H92" s="542">
        <f>((I60^2+J60^2)*$G$44/1000)/$C$9*$C$9</f>
        <v>1.533956417746545</v>
      </c>
      <c r="I92" s="543" t="s">
        <v>2160</v>
      </c>
      <c r="J92" s="544">
        <f>((I60^2+J60^2)*$J$44)/(100*$C$9)</f>
        <v>5.0444303165125132E-2</v>
      </c>
      <c r="K92" s="542">
        <f>((L60^2+M60^2)*$G$44/1000)/$C$9*$C$9</f>
        <v>1.6022349811834564</v>
      </c>
      <c r="L92" s="543" t="s">
        <v>2160</v>
      </c>
      <c r="M92" s="544">
        <f>((L60^2+M60^2)*$J$44)/(100*$C$9)</f>
        <v>5.2689650238773138E-2</v>
      </c>
      <c r="N92" s="542">
        <f>((O60^2+P60^2)*$G$44/1000)/$C$9*$C$9</f>
        <v>1.507187559076445</v>
      </c>
      <c r="O92" s="543" t="s">
        <v>2160</v>
      </c>
      <c r="P92" s="544">
        <f>((O60^2+P60^2)*$J$44)/(100*$C$9)</f>
        <v>4.9564006693519624E-2</v>
      </c>
      <c r="Q92" s="542">
        <f>((R60^2+S60^2)*$G$44/1000)/$C$9*$C$9</f>
        <v>1.9402549608179802</v>
      </c>
      <c r="R92" s="543" t="s">
        <v>2160</v>
      </c>
      <c r="S92" s="544">
        <f>((R60^2+S60^2)*$J$44)/(100*$C$9)</f>
        <v>6.3805469522349875E-2</v>
      </c>
      <c r="T92" s="542">
        <f>((U60^2+V60^2)*$G$44/1000)/$C$9*$C$9</f>
        <v>1.4240630534760379</v>
      </c>
      <c r="U92" s="543" t="s">
        <v>2160</v>
      </c>
      <c r="V92" s="544">
        <f>((U60^2+V60^2)*$J$44)/(100*$C$9)</f>
        <v>4.6830449395250329E-2</v>
      </c>
      <c r="W92" s="542">
        <f>((X60^2+Y60^2)*$G$44/1000)/$C$9*$C$9</f>
        <v>1.7835221555702745</v>
      </c>
      <c r="X92" s="543" t="s">
        <v>2160</v>
      </c>
      <c r="Y92" s="544">
        <f>((X60^2+Y60^2)*$J$44)/(100*$C$9)</f>
        <v>5.8651296266599581E-2</v>
      </c>
      <c r="Z92" s="542">
        <f>((AA60^2+AB60^2)*$G$44/1000)/$C$9*$C$9</f>
        <v>1.158974761131885</v>
      </c>
      <c r="AA92" s="543" t="s">
        <v>2160</v>
      </c>
      <c r="AB92" s="544">
        <f>((AA60^2+AB60^2)*$J$44)/(100*$C$9)</f>
        <v>3.8112995607235842E-2</v>
      </c>
      <c r="AC92" s="542">
        <f>((AD60^2+AE60^2)*$G$44/1000)/$C$9*$C$9</f>
        <v>1.4564514991772475</v>
      </c>
      <c r="AD92" s="543" t="s">
        <v>2160</v>
      </c>
      <c r="AE92" s="544">
        <f>((AD60^2+AE60^2)*$J$44)/(100*$C$9)</f>
        <v>4.7895546522585389E-2</v>
      </c>
      <c r="AF92" s="542">
        <f>((AG60^2+AH60^2)*$G$44/1000)/$C$9*$C$9</f>
        <v>1.2977222002329234</v>
      </c>
      <c r="AG92" s="543" t="s">
        <v>2160</v>
      </c>
      <c r="AH92" s="544">
        <f>((AG60^2+AH60^2)*$J$44)/(100*$C$9)</f>
        <v>4.2675718381119727E-2</v>
      </c>
      <c r="AI92" s="542">
        <f>((AJ60^2+AK60^2)*$G$44/1000)/$C$9*$C$9</f>
        <v>1.4219780565524298</v>
      </c>
      <c r="AJ92" s="543" t="s">
        <v>2160</v>
      </c>
      <c r="AK92" s="544">
        <f>((AJ60^2+AK60^2)*$J$44)/(100*$C$9)</f>
        <v>4.6761884072470596E-2</v>
      </c>
      <c r="AL92" s="542">
        <f>((AM60^2+AN60^2)*$G$44/1000)/$C$9*$C$9</f>
        <v>0.9075939925721368</v>
      </c>
      <c r="AM92" s="543" t="s">
        <v>2160</v>
      </c>
      <c r="AN92" s="544">
        <f>((AM60^2+AN60^2)*$J$44)/(100*$C$9)</f>
        <v>2.9846315046820251E-2</v>
      </c>
      <c r="AO92" s="542">
        <f>((AP60^2+AQ60^2)*$G$44/1000)/$C$9*$C$9</f>
        <v>0.87640489680102063</v>
      </c>
      <c r="AP92" s="543" t="s">
        <v>2160</v>
      </c>
      <c r="AQ92" s="544">
        <f>((AP60^2+AQ60^2)*$J$44)/(100*$C$9)</f>
        <v>2.8820658656376265E-2</v>
      </c>
    </row>
    <row r="93" spans="1:45" ht="16.5" hidden="1" x14ac:dyDescent="0.25">
      <c r="A93" s="1359"/>
      <c r="B93" s="545" t="s">
        <v>2163</v>
      </c>
      <c r="C93" s="546">
        <v>23</v>
      </c>
      <c r="D93" s="547"/>
      <c r="E93" s="1361" t="s">
        <v>2164</v>
      </c>
      <c r="F93" s="1361"/>
      <c r="G93" s="548">
        <v>162.5</v>
      </c>
      <c r="H93" s="1362"/>
      <c r="I93" s="1363"/>
      <c r="J93" s="1364"/>
      <c r="K93" s="1362"/>
      <c r="L93" s="1363"/>
      <c r="M93" s="1364"/>
      <c r="N93" s="1362"/>
      <c r="O93" s="1363"/>
      <c r="P93" s="1364"/>
      <c r="Q93" s="1362"/>
      <c r="R93" s="1363"/>
      <c r="S93" s="1364"/>
      <c r="T93" s="1362"/>
      <c r="U93" s="1363"/>
      <c r="V93" s="1364"/>
      <c r="W93" s="1362"/>
      <c r="X93" s="1363"/>
      <c r="Y93" s="1364"/>
      <c r="Z93" s="1362"/>
      <c r="AA93" s="1363"/>
      <c r="AB93" s="1364"/>
      <c r="AC93" s="1362"/>
      <c r="AD93" s="1363"/>
      <c r="AE93" s="1364"/>
      <c r="AF93" s="1362"/>
      <c r="AG93" s="1363"/>
      <c r="AH93" s="1364"/>
      <c r="AI93" s="1362"/>
      <c r="AJ93" s="1363"/>
      <c r="AK93" s="1364"/>
      <c r="AL93" s="1362"/>
      <c r="AM93" s="1363"/>
      <c r="AN93" s="1364"/>
      <c r="AO93" s="1362"/>
      <c r="AP93" s="1363"/>
      <c r="AQ93" s="1364"/>
    </row>
    <row r="94" spans="1:45" ht="17.25" hidden="1" thickBot="1" x14ac:dyDescent="0.3">
      <c r="A94" s="1359"/>
      <c r="B94" s="468"/>
      <c r="C94" s="471"/>
      <c r="D94" s="473"/>
      <c r="E94" s="552"/>
      <c r="F94" s="552" t="s">
        <v>2165</v>
      </c>
      <c r="G94" s="469">
        <v>124.19</v>
      </c>
      <c r="H94" s="1365"/>
      <c r="I94" s="1366"/>
      <c r="J94" s="1367"/>
      <c r="K94" s="1365"/>
      <c r="L94" s="1366"/>
      <c r="M94" s="1367"/>
      <c r="N94" s="1365"/>
      <c r="O94" s="1366"/>
      <c r="P94" s="1367"/>
      <c r="Q94" s="1365"/>
      <c r="R94" s="1366"/>
      <c r="S94" s="1367"/>
      <c r="T94" s="1365"/>
      <c r="U94" s="1366"/>
      <c r="V94" s="1367"/>
      <c r="W94" s="1365"/>
      <c r="X94" s="1366"/>
      <c r="Y94" s="1367"/>
      <c r="Z94" s="1365"/>
      <c r="AA94" s="1366"/>
      <c r="AB94" s="1367"/>
      <c r="AC94" s="1365"/>
      <c r="AD94" s="1366"/>
      <c r="AE94" s="1367"/>
      <c r="AF94" s="1365"/>
      <c r="AG94" s="1366"/>
      <c r="AH94" s="1367"/>
      <c r="AI94" s="1365"/>
      <c r="AJ94" s="1366"/>
      <c r="AK94" s="1367"/>
      <c r="AL94" s="1365"/>
      <c r="AM94" s="1366"/>
      <c r="AN94" s="1367"/>
      <c r="AO94" s="1365"/>
      <c r="AP94" s="1366"/>
      <c r="AQ94" s="1367"/>
    </row>
    <row r="95" spans="1:45" ht="17.25" hidden="1" thickBot="1" x14ac:dyDescent="0.3">
      <c r="A95" s="1360"/>
      <c r="B95" s="1355" t="s">
        <v>2167</v>
      </c>
      <c r="C95" s="1356"/>
      <c r="D95" s="1356"/>
      <c r="E95" s="1356"/>
      <c r="F95" s="1356"/>
      <c r="G95" s="1357"/>
      <c r="H95" s="554">
        <f>I59</f>
        <v>2.8370000000000002</v>
      </c>
      <c r="I95" s="555" t="s">
        <v>2160</v>
      </c>
      <c r="J95" s="556">
        <f>J59</f>
        <v>2.1287704158716112</v>
      </c>
      <c r="K95" s="554">
        <f>L59</f>
        <v>2.8889999999999998</v>
      </c>
      <c r="L95" s="555" t="s">
        <v>2160</v>
      </c>
      <c r="M95" s="556">
        <f>M59</f>
        <v>2.1907012958716106</v>
      </c>
      <c r="N95" s="554">
        <f>O59</f>
        <v>2.847</v>
      </c>
      <c r="O95" s="555" t="s">
        <v>2160</v>
      </c>
      <c r="P95" s="556">
        <f>P59</f>
        <v>2.0619502558716105</v>
      </c>
      <c r="Q95" s="554">
        <f>R59</f>
        <v>3.2559999999999998</v>
      </c>
      <c r="R95" s="555" t="s">
        <v>2160</v>
      </c>
      <c r="S95" s="556">
        <f>S59</f>
        <v>2.2849718638074163</v>
      </c>
      <c r="T95" s="554">
        <f>U59</f>
        <v>2.903</v>
      </c>
      <c r="U95" s="555" t="s">
        <v>2160</v>
      </c>
      <c r="V95" s="556">
        <f>V59</f>
        <v>1.8234459279358053</v>
      </c>
      <c r="W95" s="554">
        <f>X59</f>
        <v>3.32</v>
      </c>
      <c r="X95" s="555" t="s">
        <v>2160</v>
      </c>
      <c r="Y95" s="556">
        <f>Y59</f>
        <v>1.8373472317432216</v>
      </c>
      <c r="Z95" s="554">
        <f>AA59</f>
        <v>2.649</v>
      </c>
      <c r="AA95" s="555" t="s">
        <v>2160</v>
      </c>
      <c r="AB95" s="556">
        <f>AB59</f>
        <v>1.5656883358716107</v>
      </c>
      <c r="AC95" s="554">
        <f>AD59</f>
        <v>2.7749999999999999</v>
      </c>
      <c r="AD95" s="555" t="s">
        <v>2160</v>
      </c>
      <c r="AE95" s="556">
        <f>AE59</f>
        <v>2.0471546598395136</v>
      </c>
      <c r="AF95" s="554">
        <f>AG59</f>
        <v>2.7229999999999999</v>
      </c>
      <c r="AG95" s="555" t="s">
        <v>2160</v>
      </c>
      <c r="AH95" s="556">
        <f>AH59</f>
        <v>1.7905952158716107</v>
      </c>
      <c r="AI95" s="554">
        <f>AJ59</f>
        <v>2.7959999999999998</v>
      </c>
      <c r="AJ95" s="555" t="s">
        <v>2160</v>
      </c>
      <c r="AK95" s="556">
        <f>AK59</f>
        <v>1.9461095398395134</v>
      </c>
      <c r="AL95" s="554">
        <f>AM59</f>
        <v>2.258</v>
      </c>
      <c r="AM95" s="555" t="s">
        <v>2160</v>
      </c>
      <c r="AN95" s="556">
        <f>AN59</f>
        <v>1.5184252958716109</v>
      </c>
      <c r="AO95" s="554">
        <f>AP59</f>
        <v>2.169</v>
      </c>
      <c r="AP95" s="555" t="s">
        <v>2160</v>
      </c>
      <c r="AQ95" s="556">
        <f>AQ59</f>
        <v>1.5648734558716106</v>
      </c>
    </row>
    <row r="96" spans="1:45" ht="16.5" hidden="1" x14ac:dyDescent="0.25">
      <c r="A96" s="1358" t="s">
        <v>16</v>
      </c>
      <c r="B96" s="533" t="s">
        <v>2158</v>
      </c>
      <c r="C96" s="534"/>
      <c r="D96" s="534" t="s">
        <v>2159</v>
      </c>
      <c r="E96" s="534"/>
      <c r="F96" s="534"/>
      <c r="G96" s="534"/>
      <c r="H96" s="536">
        <f>$C$48/1000</f>
        <v>2.1999999999999999E-2</v>
      </c>
      <c r="I96" s="537" t="s">
        <v>2160</v>
      </c>
      <c r="J96" s="538">
        <f>$G$48/1000</f>
        <v>0.16500000000000001</v>
      </c>
      <c r="K96" s="536">
        <f>$C$48/1000</f>
        <v>2.1999999999999999E-2</v>
      </c>
      <c r="L96" s="537" t="s">
        <v>2160</v>
      </c>
      <c r="M96" s="538">
        <f>$G$48/1000</f>
        <v>0.16500000000000001</v>
      </c>
      <c r="N96" s="536">
        <f>$C$48/1000</f>
        <v>2.1999999999999999E-2</v>
      </c>
      <c r="O96" s="537" t="s">
        <v>2160</v>
      </c>
      <c r="P96" s="538">
        <f>$G$48/1000</f>
        <v>0.16500000000000001</v>
      </c>
      <c r="Q96" s="536">
        <f>$C$48/1000</f>
        <v>2.1999999999999999E-2</v>
      </c>
      <c r="R96" s="537" t="s">
        <v>2160</v>
      </c>
      <c r="S96" s="538">
        <f>$G$48/1000</f>
        <v>0.16500000000000001</v>
      </c>
      <c r="T96" s="536">
        <f>$C$48/1000</f>
        <v>2.1999999999999999E-2</v>
      </c>
      <c r="U96" s="537" t="s">
        <v>2160</v>
      </c>
      <c r="V96" s="538">
        <f>$G$48/1000</f>
        <v>0.16500000000000001</v>
      </c>
      <c r="W96" s="536">
        <f>$C$48/1000</f>
        <v>2.1999999999999999E-2</v>
      </c>
      <c r="X96" s="537" t="s">
        <v>2160</v>
      </c>
      <c r="Y96" s="538">
        <f>$G$48/1000</f>
        <v>0.16500000000000001</v>
      </c>
      <c r="Z96" s="536">
        <f>$C$48/1000</f>
        <v>2.1999999999999999E-2</v>
      </c>
      <c r="AA96" s="537" t="s">
        <v>2160</v>
      </c>
      <c r="AB96" s="538">
        <f>$G$48/1000</f>
        <v>0.16500000000000001</v>
      </c>
      <c r="AC96" s="536">
        <f>$C$48/1000</f>
        <v>2.1999999999999999E-2</v>
      </c>
      <c r="AD96" s="537" t="s">
        <v>2160</v>
      </c>
      <c r="AE96" s="538">
        <f>$G$48/1000</f>
        <v>0.16500000000000001</v>
      </c>
      <c r="AF96" s="536">
        <f>$C$48/1000</f>
        <v>2.1999999999999999E-2</v>
      </c>
      <c r="AG96" s="537" t="s">
        <v>2160</v>
      </c>
      <c r="AH96" s="538">
        <f>$G$48/1000</f>
        <v>0.16500000000000001</v>
      </c>
      <c r="AI96" s="536">
        <f>$C$48/1000</f>
        <v>2.1999999999999999E-2</v>
      </c>
      <c r="AJ96" s="537" t="s">
        <v>2160</v>
      </c>
      <c r="AK96" s="538">
        <f>$G$48/1000</f>
        <v>0.16500000000000001</v>
      </c>
      <c r="AL96" s="536">
        <f>$C$48/1000</f>
        <v>2.1999999999999999E-2</v>
      </c>
      <c r="AM96" s="537" t="s">
        <v>2160</v>
      </c>
      <c r="AN96" s="538">
        <f>$G$48/1000</f>
        <v>0.16500000000000001</v>
      </c>
      <c r="AO96" s="536">
        <f>$C$48/1000</f>
        <v>2.1999999999999999E-2</v>
      </c>
      <c r="AP96" s="537" t="s">
        <v>2160</v>
      </c>
      <c r="AQ96" s="538">
        <f>$G$48/1000</f>
        <v>0.16500000000000001</v>
      </c>
    </row>
    <row r="97" spans="1:43" ht="17.25" hidden="1" thickBot="1" x14ac:dyDescent="0.3">
      <c r="A97" s="1359"/>
      <c r="B97" s="539" t="s">
        <v>2161</v>
      </c>
      <c r="C97" s="540"/>
      <c r="D97" s="540" t="s">
        <v>2162</v>
      </c>
      <c r="E97" s="540"/>
      <c r="F97" s="540"/>
      <c r="G97" s="557"/>
      <c r="H97" s="542">
        <f>((I60^2+J60^2)*$G$49/1000)/$C$15*$C$9</f>
        <v>1.457375937917021</v>
      </c>
      <c r="I97" s="543" t="s">
        <v>2160</v>
      </c>
      <c r="J97" s="544">
        <f>((I60^2+J60^2)*$J$49)/(100*$C$15)</f>
        <v>5.0790150493387497E-2</v>
      </c>
      <c r="K97" s="542">
        <f>((L60^2+M60^2)*$G$49/1000)/$C$15*$C$9</f>
        <v>1.5222457961980516</v>
      </c>
      <c r="L97" s="543" t="s">
        <v>2160</v>
      </c>
      <c r="M97" s="544">
        <f>((L60^2+M60^2)*$J$49)/(100*$C$15)</f>
        <v>5.3050891719352386E-2</v>
      </c>
      <c r="N97" s="542">
        <f>((O60^2+P60^2)*$G$49/1000)/$C$15*$C$9</f>
        <v>1.4319434744780557</v>
      </c>
      <c r="O97" s="543" t="s">
        <v>2160</v>
      </c>
      <c r="P97" s="544">
        <f>((O60^2+P60^2)*$J$49)/(100*$C$15)</f>
        <v>4.9903818688480081E-2</v>
      </c>
      <c r="Q97" s="542">
        <f>((R60^2+S60^2)*$G$49/1000)/$C$15*$C$9</f>
        <v>1.8433906339231296</v>
      </c>
      <c r="R97" s="543" t="s">
        <v>2160</v>
      </c>
      <c r="S97" s="544">
        <f>((R60^2+S60^2)*$J$49)/(100*$C$15)</f>
        <v>6.4242921321229829E-2</v>
      </c>
      <c r="T97" s="542">
        <f>((U60^2+V60^2)*$G$49/1000)/$C$15*$C$9</f>
        <v>1.3529688354910838</v>
      </c>
      <c r="U97" s="543" t="s">
        <v>2160</v>
      </c>
      <c r="V97" s="544">
        <f>((U60^2+V60^2)*$J$49)/(100*$C$15)</f>
        <v>4.7151520057117861E-2</v>
      </c>
      <c r="W97" s="542">
        <f>((X60^2+Y60^2)*$G$49/1000)/$C$15*$C$9</f>
        <v>1.6944824795533993</v>
      </c>
      <c r="X97" s="543" t="s">
        <v>2160</v>
      </c>
      <c r="Y97" s="544">
        <f>((X60^2+Y60^2)*$J$49)/(100*$C$15)</f>
        <v>5.9053410932482231E-2</v>
      </c>
      <c r="Z97" s="542">
        <f>((AA60^2+AB60^2)*$G$49/1000)/$C$15*$C$9</f>
        <v>1.1011146796517524</v>
      </c>
      <c r="AA97" s="543" t="s">
        <v>2160</v>
      </c>
      <c r="AB97" s="544">
        <f>((AA60^2+AB60^2)*$J$49)/(100*$C$15)</f>
        <v>3.8374299201017079E-2</v>
      </c>
      <c r="AC97" s="542">
        <f>((AD60^2+AE60^2)*$G$49/1000)/$C$15*$C$9</f>
        <v>1.3837403364838026</v>
      </c>
      <c r="AD97" s="543" t="s">
        <v>2160</v>
      </c>
      <c r="AE97" s="544">
        <f>((AD60^2+AE60^2)*$J$49)/(100*$C$15)</f>
        <v>4.8223919515394495E-2</v>
      </c>
      <c r="AF97" s="542">
        <f>((AG60^2+AH60^2)*$G$49/1000)/$C$15*$C$9</f>
        <v>1.2329353603791176</v>
      </c>
      <c r="AG97" s="543" t="s">
        <v>2160</v>
      </c>
      <c r="AH97" s="544">
        <f>((AG60^2+AH60^2)*$J$49)/(100*$C$15)</f>
        <v>4.2968304109491748E-2</v>
      </c>
      <c r="AI97" s="542">
        <f>((AJ60^2+AK60^2)*$G$49/1000)/$C$15*$C$9</f>
        <v>1.3509879289203734</v>
      </c>
      <c r="AJ97" s="543" t="s">
        <v>2160</v>
      </c>
      <c r="AK97" s="544">
        <f>((AJ60^2+AK60^2)*$J$49)/(100*$C$15)</f>
        <v>4.7082484648873421E-2</v>
      </c>
      <c r="AL97" s="542">
        <f>((AM60^2+AN60^2)*$G$49/1000)/$C$15*$C$9</f>
        <v>0.86228371997412367</v>
      </c>
      <c r="AM97" s="543" t="s">
        <v>2160</v>
      </c>
      <c r="AN97" s="544">
        <f>((AM60^2+AN60^2)*$J$49)/(100*$C$15)</f>
        <v>3.0050942084359662E-2</v>
      </c>
      <c r="AO97" s="542">
        <f>((AP60^2+AQ60^2)*$G$49/1000)/$C$15*$C$9</f>
        <v>0.83265169316009668</v>
      </c>
      <c r="AP97" s="543" t="s">
        <v>2160</v>
      </c>
      <c r="AQ97" s="544">
        <f>((AP60^2+AQ60^2)*$J$49)/(100*$C$15)</f>
        <v>2.9018253769593338E-2</v>
      </c>
    </row>
    <row r="98" spans="1:43" ht="16.5" hidden="1" x14ac:dyDescent="0.25">
      <c r="A98" s="1359"/>
      <c r="B98" s="545" t="s">
        <v>2163</v>
      </c>
      <c r="C98" s="558">
        <v>22</v>
      </c>
      <c r="D98" s="547"/>
      <c r="E98" s="1361" t="s">
        <v>2164</v>
      </c>
      <c r="F98" s="1361"/>
      <c r="G98" s="559">
        <v>165</v>
      </c>
      <c r="H98" s="1349"/>
      <c r="I98" s="1350"/>
      <c r="J98" s="1351"/>
      <c r="K98" s="1349"/>
      <c r="L98" s="1350"/>
      <c r="M98" s="1351"/>
      <c r="N98" s="1349"/>
      <c r="O98" s="1350"/>
      <c r="P98" s="1351"/>
      <c r="Q98" s="1349"/>
      <c r="R98" s="1350"/>
      <c r="S98" s="1351"/>
      <c r="T98" s="1349"/>
      <c r="U98" s="1350"/>
      <c r="V98" s="1351"/>
      <c r="W98" s="1349"/>
      <c r="X98" s="1350"/>
      <c r="Y98" s="1351"/>
      <c r="Z98" s="1349"/>
      <c r="AA98" s="1350"/>
      <c r="AB98" s="1351"/>
      <c r="AC98" s="1349"/>
      <c r="AD98" s="1350"/>
      <c r="AE98" s="1351"/>
      <c r="AF98" s="1349"/>
      <c r="AG98" s="1350"/>
      <c r="AH98" s="1351"/>
      <c r="AI98" s="1349"/>
      <c r="AJ98" s="1350"/>
      <c r="AK98" s="1351"/>
      <c r="AL98" s="1349"/>
      <c r="AM98" s="1350"/>
      <c r="AN98" s="1351"/>
      <c r="AO98" s="1349"/>
      <c r="AP98" s="1350"/>
      <c r="AQ98" s="1351"/>
    </row>
    <row r="99" spans="1:43" ht="17.25" hidden="1" thickBot="1" x14ac:dyDescent="0.3">
      <c r="A99" s="1359"/>
      <c r="B99" s="561"/>
      <c r="C99" s="532"/>
      <c r="D99" s="438"/>
      <c r="E99" s="552"/>
      <c r="F99" s="552" t="s">
        <v>2165</v>
      </c>
      <c r="G99" s="562">
        <v>117.99</v>
      </c>
      <c r="H99" s="1352"/>
      <c r="I99" s="1353"/>
      <c r="J99" s="1354"/>
      <c r="K99" s="1352"/>
      <c r="L99" s="1353"/>
      <c r="M99" s="1354"/>
      <c r="N99" s="1352"/>
      <c r="O99" s="1353"/>
      <c r="P99" s="1354"/>
      <c r="Q99" s="1352"/>
      <c r="R99" s="1353"/>
      <c r="S99" s="1354"/>
      <c r="T99" s="1352"/>
      <c r="U99" s="1353"/>
      <c r="V99" s="1354"/>
      <c r="W99" s="1352"/>
      <c r="X99" s="1353"/>
      <c r="Y99" s="1354"/>
      <c r="Z99" s="1352"/>
      <c r="AA99" s="1353"/>
      <c r="AB99" s="1354"/>
      <c r="AC99" s="1352"/>
      <c r="AD99" s="1353"/>
      <c r="AE99" s="1354"/>
      <c r="AF99" s="1352"/>
      <c r="AG99" s="1353"/>
      <c r="AH99" s="1354"/>
      <c r="AI99" s="1352"/>
      <c r="AJ99" s="1353"/>
      <c r="AK99" s="1354"/>
      <c r="AL99" s="1352"/>
      <c r="AM99" s="1353"/>
      <c r="AN99" s="1354"/>
      <c r="AO99" s="1352"/>
      <c r="AP99" s="1353"/>
      <c r="AQ99" s="1354"/>
    </row>
    <row r="100" spans="1:43" ht="17.25" hidden="1" thickBot="1" x14ac:dyDescent="0.3">
      <c r="A100" s="1360"/>
      <c r="B100" s="1355" t="s">
        <v>2167</v>
      </c>
      <c r="C100" s="1356"/>
      <c r="D100" s="1356"/>
      <c r="E100" s="1356"/>
      <c r="F100" s="1356"/>
      <c r="G100" s="1357"/>
      <c r="H100" s="563">
        <f>I65</f>
        <v>2.9969999999999999</v>
      </c>
      <c r="I100" s="564" t="s">
        <v>2160</v>
      </c>
      <c r="J100" s="565">
        <f>J65</f>
        <v>2.1878250439679028</v>
      </c>
      <c r="K100" s="563">
        <f>L65</f>
        <v>3.0680000000000001</v>
      </c>
      <c r="L100" s="564" t="s">
        <v>2160</v>
      </c>
      <c r="M100" s="565">
        <f>M65</f>
        <v>2.2073821639679028</v>
      </c>
      <c r="N100" s="563">
        <f>O65</f>
        <v>3.1589999999999998</v>
      </c>
      <c r="O100" s="564" t="s">
        <v>2160</v>
      </c>
      <c r="P100" s="565">
        <f>P65</f>
        <v>2.2652386439679026</v>
      </c>
      <c r="Q100" s="563">
        <f>R65</f>
        <v>3.121</v>
      </c>
      <c r="R100" s="564" t="s">
        <v>2160</v>
      </c>
      <c r="S100" s="565">
        <f>S65</f>
        <v>2.2033077639679024</v>
      </c>
      <c r="T100" s="563">
        <f>U65</f>
        <v>3.0510000000000002</v>
      </c>
      <c r="U100" s="564" t="s">
        <v>2160</v>
      </c>
      <c r="V100" s="565">
        <f>V65</f>
        <v>2.1635063999999997</v>
      </c>
      <c r="W100" s="563">
        <f>X65</f>
        <v>3.0110000000000001</v>
      </c>
      <c r="X100" s="564" t="s">
        <v>2160</v>
      </c>
      <c r="Y100" s="565">
        <f>Y65</f>
        <v>2.1189676839679024</v>
      </c>
      <c r="Z100" s="563">
        <f>AA65</f>
        <v>2.8940000000000001</v>
      </c>
      <c r="AA100" s="564" t="s">
        <v>2160</v>
      </c>
      <c r="AB100" s="565">
        <f>AB65</f>
        <v>1.9885868839679024</v>
      </c>
      <c r="AC100" s="563">
        <f>AD65</f>
        <v>2.8969999999999998</v>
      </c>
      <c r="AD100" s="564" t="s">
        <v>2160</v>
      </c>
      <c r="AE100" s="565">
        <f>AE65</f>
        <v>1.9722892839679023</v>
      </c>
      <c r="AF100" s="563">
        <f>AG65</f>
        <v>2.863</v>
      </c>
      <c r="AG100" s="564" t="s">
        <v>2160</v>
      </c>
      <c r="AH100" s="565">
        <f>AH65</f>
        <v>1.9551768039679025</v>
      </c>
      <c r="AI100" s="563">
        <f>AJ65</f>
        <v>2.9049999999999998</v>
      </c>
      <c r="AJ100" s="564" t="s">
        <v>2160</v>
      </c>
      <c r="AK100" s="565">
        <f>AK65</f>
        <v>1.9674000039679027</v>
      </c>
      <c r="AL100" s="563">
        <f>AM65</f>
        <v>2.8759999999999999</v>
      </c>
      <c r="AM100" s="564" t="s">
        <v>2160</v>
      </c>
      <c r="AN100" s="565">
        <f>AN65</f>
        <v>1.9821955999999998</v>
      </c>
      <c r="AO100" s="563">
        <f>AP65</f>
        <v>2.847</v>
      </c>
      <c r="AP100" s="564" t="s">
        <v>2160</v>
      </c>
      <c r="AQ100" s="565">
        <f>AQ65</f>
        <v>1.9987728839679024</v>
      </c>
    </row>
    <row r="101" spans="1:43" ht="16.5" hidden="1" x14ac:dyDescent="0.25">
      <c r="A101" s="1346" t="s">
        <v>2168</v>
      </c>
      <c r="B101" s="1347"/>
      <c r="C101" s="1347"/>
      <c r="D101" s="1347"/>
      <c r="E101" s="1347"/>
      <c r="F101" s="1347"/>
      <c r="G101" s="1348"/>
      <c r="H101" s="568"/>
      <c r="I101" s="569"/>
      <c r="J101" s="551"/>
      <c r="K101" s="568"/>
      <c r="L101" s="569"/>
      <c r="M101" s="551"/>
      <c r="N101" s="568"/>
      <c r="O101" s="569"/>
      <c r="P101" s="551"/>
      <c r="Q101" s="568"/>
      <c r="R101" s="569"/>
      <c r="S101" s="551"/>
      <c r="T101" s="568"/>
      <c r="U101" s="569"/>
      <c r="V101" s="551"/>
      <c r="W101" s="568"/>
      <c r="X101" s="569"/>
      <c r="Y101" s="551"/>
      <c r="Z101" s="568"/>
      <c r="AA101" s="569"/>
      <c r="AB101" s="551"/>
      <c r="AC101" s="568"/>
      <c r="AD101" s="569"/>
      <c r="AE101" s="551"/>
      <c r="AF101" s="568"/>
      <c r="AG101" s="569"/>
      <c r="AH101" s="551"/>
      <c r="AI101" s="568"/>
      <c r="AJ101" s="569"/>
      <c r="AK101" s="551"/>
      <c r="AL101" s="568"/>
      <c r="AM101" s="569"/>
      <c r="AN101" s="551"/>
      <c r="AO101" s="568"/>
      <c r="AP101" s="569"/>
      <c r="AQ101" s="551"/>
    </row>
    <row r="102" spans="1:43" ht="17.25" hidden="1" thickBot="1" x14ac:dyDescent="0.3">
      <c r="A102" s="570" t="s">
        <v>2169</v>
      </c>
      <c r="B102" s="571"/>
      <c r="C102" s="572"/>
      <c r="D102" s="571"/>
      <c r="E102" s="473"/>
      <c r="F102" s="571" t="s">
        <v>2170</v>
      </c>
      <c r="G102" s="472"/>
      <c r="H102" s="573">
        <f>SUM(H95,H100)</f>
        <v>5.8339999999999996</v>
      </c>
      <c r="I102" s="574" t="s">
        <v>2160</v>
      </c>
      <c r="J102" s="575">
        <f>SUM(J95,J100)</f>
        <v>4.3165954598395135</v>
      </c>
      <c r="K102" s="573">
        <f>SUM(K95,K100)</f>
        <v>5.9569999999999999</v>
      </c>
      <c r="L102" s="574" t="s">
        <v>2160</v>
      </c>
      <c r="M102" s="575">
        <f>SUM(M95,M100)</f>
        <v>4.3980834598395138</v>
      </c>
      <c r="N102" s="573">
        <f>SUM(N95,N100)</f>
        <v>6.0060000000000002</v>
      </c>
      <c r="O102" s="574" t="s">
        <v>2160</v>
      </c>
      <c r="P102" s="575">
        <f>SUM(P95,P100)</f>
        <v>4.3271888998395127</v>
      </c>
      <c r="Q102" s="573">
        <f>SUM(Q95,Q100)</f>
        <v>6.3769999999999998</v>
      </c>
      <c r="R102" s="574" t="s">
        <v>2160</v>
      </c>
      <c r="S102" s="575">
        <f>SUM(S95,S100)</f>
        <v>4.4882796277753183</v>
      </c>
      <c r="T102" s="573">
        <f>SUM(T95,T100)</f>
        <v>5.9540000000000006</v>
      </c>
      <c r="U102" s="574" t="s">
        <v>2160</v>
      </c>
      <c r="V102" s="575">
        <f>SUM(V95,V100)</f>
        <v>3.9869523279358052</v>
      </c>
      <c r="W102" s="573">
        <f>SUM(W95,W100)</f>
        <v>6.3309999999999995</v>
      </c>
      <c r="X102" s="574" t="s">
        <v>2160</v>
      </c>
      <c r="Y102" s="575">
        <f>SUM(Y95,Y100)</f>
        <v>3.9563149157111237</v>
      </c>
      <c r="Z102" s="573">
        <f>SUM(Z95,Z100)</f>
        <v>5.5430000000000001</v>
      </c>
      <c r="AA102" s="574" t="s">
        <v>2160</v>
      </c>
      <c r="AB102" s="575">
        <f>SUM(AB95,AB100)</f>
        <v>3.5542752198395133</v>
      </c>
      <c r="AC102" s="573">
        <f>SUM(AC95,AC100)</f>
        <v>5.6719999999999997</v>
      </c>
      <c r="AD102" s="574" t="s">
        <v>2160</v>
      </c>
      <c r="AE102" s="575">
        <f>SUM(AE95,AE100)</f>
        <v>4.0194439438074161</v>
      </c>
      <c r="AF102" s="573">
        <f>SUM(AF95,AF100)</f>
        <v>5.5860000000000003</v>
      </c>
      <c r="AG102" s="574" t="s">
        <v>2160</v>
      </c>
      <c r="AH102" s="575">
        <f>SUM(AH95,AH100)</f>
        <v>3.7457720198395132</v>
      </c>
      <c r="AI102" s="573">
        <f>SUM(AI95,AI100)</f>
        <v>5.7009999999999996</v>
      </c>
      <c r="AJ102" s="574" t="s">
        <v>2160</v>
      </c>
      <c r="AK102" s="575">
        <f>SUM(AK95,AK100)</f>
        <v>3.9135095438074163</v>
      </c>
      <c r="AL102" s="573">
        <f>SUM(AL95,AL100)</f>
        <v>5.1340000000000003</v>
      </c>
      <c r="AM102" s="574" t="s">
        <v>2160</v>
      </c>
      <c r="AN102" s="575">
        <f>SUM(AN95,AN100)</f>
        <v>3.5006208958716107</v>
      </c>
      <c r="AO102" s="573">
        <f>SUM(AO95,AO100)</f>
        <v>5.016</v>
      </c>
      <c r="AP102" s="574" t="s">
        <v>2160</v>
      </c>
      <c r="AQ102" s="575">
        <f>SUM(AQ95,AQ100)</f>
        <v>3.5636463398395133</v>
      </c>
    </row>
    <row r="103" spans="1:43" ht="16.5" hidden="1" x14ac:dyDescent="0.25">
      <c r="A103" s="576" t="s">
        <v>2171</v>
      </c>
      <c r="B103" s="566"/>
      <c r="C103" s="566"/>
      <c r="D103" s="566"/>
      <c r="E103" s="566"/>
      <c r="F103" s="566"/>
      <c r="H103" s="566"/>
      <c r="I103" s="577">
        <f>J102/H102</f>
        <v>0.73990323274588854</v>
      </c>
      <c r="J103" s="566"/>
      <c r="K103" s="566"/>
      <c r="L103" s="577">
        <f>M102/K102</f>
        <v>0.73830509649815579</v>
      </c>
      <c r="M103" s="566"/>
      <c r="N103" s="566"/>
      <c r="O103" s="577">
        <f>P102/N102</f>
        <v>0.72047767230095117</v>
      </c>
      <c r="P103" s="566"/>
      <c r="Q103" s="566"/>
      <c r="R103" s="577">
        <f>S102/Q102</f>
        <v>0.70382305594720374</v>
      </c>
      <c r="S103" s="566"/>
      <c r="T103" s="566"/>
      <c r="U103" s="577">
        <f>V102/T102</f>
        <v>0.66962585286123699</v>
      </c>
      <c r="V103" s="566"/>
      <c r="W103" s="566"/>
      <c r="X103" s="577">
        <f>Y102/W102</f>
        <v>0.62491153304551006</v>
      </c>
      <c r="Y103" s="566"/>
      <c r="Z103" s="566"/>
      <c r="AA103" s="577">
        <f>AB102/Z102</f>
        <v>0.64121869381914365</v>
      </c>
      <c r="AB103" s="566"/>
      <c r="AC103" s="566"/>
      <c r="AD103" s="577">
        <f>AE102/AC102</f>
        <v>0.70864667556548244</v>
      </c>
      <c r="AE103" s="566"/>
      <c r="AF103" s="566"/>
      <c r="AG103" s="577">
        <f>AH102/AF102</f>
        <v>0.6705642713640374</v>
      </c>
      <c r="AH103" s="566"/>
      <c r="AI103" s="566"/>
      <c r="AJ103" s="577">
        <f>AK102/AI102</f>
        <v>0.68646019010829973</v>
      </c>
      <c r="AK103" s="566"/>
      <c r="AL103" s="566"/>
      <c r="AM103" s="577">
        <f>AN102/AL102</f>
        <v>0.68185058353556882</v>
      </c>
      <c r="AN103" s="566"/>
      <c r="AO103" s="566"/>
      <c r="AP103" s="577">
        <f>AQ102/AO102</f>
        <v>0.71045580937789343</v>
      </c>
      <c r="AQ103" s="566"/>
    </row>
    <row r="104" spans="1:43" ht="16.5" hidden="1" x14ac:dyDescent="0.25">
      <c r="A104" s="576" t="s">
        <v>2172</v>
      </c>
      <c r="B104" s="576"/>
      <c r="C104" s="576"/>
      <c r="D104" s="576"/>
      <c r="E104" s="576"/>
      <c r="F104" s="576"/>
      <c r="G104" s="578"/>
      <c r="H104" s="578"/>
      <c r="I104" s="578"/>
      <c r="J104" s="578"/>
      <c r="K104" s="578"/>
      <c r="L104" s="578"/>
      <c r="M104" s="578"/>
      <c r="N104" s="578"/>
      <c r="O104" s="578"/>
      <c r="P104" s="578"/>
      <c r="Q104" s="578"/>
      <c r="R104" s="578"/>
      <c r="S104" s="578"/>
      <c r="T104" s="578"/>
      <c r="U104" s="578"/>
      <c r="V104" s="578"/>
      <c r="W104" s="578"/>
      <c r="X104" s="578"/>
      <c r="Y104" s="578"/>
      <c r="Z104" s="578"/>
      <c r="AA104" s="578"/>
      <c r="AB104" s="578"/>
      <c r="AC104" s="578"/>
      <c r="AD104" s="578"/>
      <c r="AE104" s="578"/>
      <c r="AF104" s="578"/>
      <c r="AG104" s="578"/>
      <c r="AH104" s="578"/>
      <c r="AI104" s="578"/>
      <c r="AJ104" s="578"/>
      <c r="AK104" s="578"/>
      <c r="AL104" s="578"/>
      <c r="AM104" s="578"/>
      <c r="AN104" s="578"/>
      <c r="AO104" s="578"/>
      <c r="AP104" s="578"/>
      <c r="AQ104" s="578"/>
    </row>
  </sheetData>
  <mergeCells count="380">
    <mergeCell ref="AI6:AK6"/>
    <mergeCell ref="AL6:AN6"/>
    <mergeCell ref="AO6:AQ6"/>
    <mergeCell ref="A7:B8"/>
    <mergeCell ref="C7:C8"/>
    <mergeCell ref="D7:G8"/>
    <mergeCell ref="A3:AQ3"/>
    <mergeCell ref="AN4:AQ4"/>
    <mergeCell ref="BX4:CA4"/>
    <mergeCell ref="BZ5:CA5"/>
    <mergeCell ref="A6:G6"/>
    <mergeCell ref="H6:J6"/>
    <mergeCell ref="K6:M6"/>
    <mergeCell ref="N6:P6"/>
    <mergeCell ref="Q6:S6"/>
    <mergeCell ref="T6:V6"/>
    <mergeCell ref="W6:Y6"/>
    <mergeCell ref="Z6:AB6"/>
    <mergeCell ref="AC6:AE6"/>
    <mergeCell ref="AF6:AH6"/>
    <mergeCell ref="N11:P11"/>
    <mergeCell ref="Q11:S11"/>
    <mergeCell ref="T11:V11"/>
    <mergeCell ref="A9:B14"/>
    <mergeCell ref="C9:C14"/>
    <mergeCell ref="D9:E10"/>
    <mergeCell ref="F9:G9"/>
    <mergeCell ref="F10:G10"/>
    <mergeCell ref="D11:G11"/>
    <mergeCell ref="F13:G13"/>
    <mergeCell ref="T13:V13"/>
    <mergeCell ref="AL11:AN11"/>
    <mergeCell ref="AO11:AQ11"/>
    <mergeCell ref="D12:E13"/>
    <mergeCell ref="F12:G12"/>
    <mergeCell ref="H12:J12"/>
    <mergeCell ref="K12:M12"/>
    <mergeCell ref="N12:P12"/>
    <mergeCell ref="Q12:S12"/>
    <mergeCell ref="T12:V12"/>
    <mergeCell ref="W12:Y12"/>
    <mergeCell ref="Z12:AB12"/>
    <mergeCell ref="AC12:AE12"/>
    <mergeCell ref="AF12:AH12"/>
    <mergeCell ref="AI12:AK12"/>
    <mergeCell ref="AL12:AN12"/>
    <mergeCell ref="AO12:AQ12"/>
    <mergeCell ref="W11:Y11"/>
    <mergeCell ref="Z11:AB11"/>
    <mergeCell ref="AC11:AE11"/>
    <mergeCell ref="AF11:AH11"/>
    <mergeCell ref="AI11:AK11"/>
    <mergeCell ref="H11:J11"/>
    <mergeCell ref="K11:M11"/>
    <mergeCell ref="AL13:AN13"/>
    <mergeCell ref="AO13:AQ13"/>
    <mergeCell ref="D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O14:AQ14"/>
    <mergeCell ref="W13:Y13"/>
    <mergeCell ref="Z13:AB13"/>
    <mergeCell ref="AC13:AE13"/>
    <mergeCell ref="AF13:AH13"/>
    <mergeCell ref="AI13:AK13"/>
    <mergeCell ref="H13:J13"/>
    <mergeCell ref="K13:M13"/>
    <mergeCell ref="N13:P13"/>
    <mergeCell ref="Q13:S13"/>
    <mergeCell ref="N17:P17"/>
    <mergeCell ref="Q17:S17"/>
    <mergeCell ref="T17:V17"/>
    <mergeCell ref="A15:B20"/>
    <mergeCell ref="C15:C20"/>
    <mergeCell ref="D15:E16"/>
    <mergeCell ref="F15:G15"/>
    <mergeCell ref="F16:G16"/>
    <mergeCell ref="D17:G17"/>
    <mergeCell ref="F19:G19"/>
    <mergeCell ref="T19:V19"/>
    <mergeCell ref="AL17:AN17"/>
    <mergeCell ref="AO17:AQ17"/>
    <mergeCell ref="D18:E19"/>
    <mergeCell ref="F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W17:Y17"/>
    <mergeCell ref="Z17:AB17"/>
    <mergeCell ref="AC17:AE17"/>
    <mergeCell ref="AF17:AH17"/>
    <mergeCell ref="AI17:AK17"/>
    <mergeCell ref="H17:J17"/>
    <mergeCell ref="K17:M17"/>
    <mergeCell ref="AL19:AN19"/>
    <mergeCell ref="AO19:AQ19"/>
    <mergeCell ref="D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Q20"/>
    <mergeCell ref="W19:Y19"/>
    <mergeCell ref="Z19:AB19"/>
    <mergeCell ref="AC19:AE19"/>
    <mergeCell ref="AF19:AH19"/>
    <mergeCell ref="AI19:AK19"/>
    <mergeCell ref="H19:J19"/>
    <mergeCell ref="K19:M19"/>
    <mergeCell ref="N19:P19"/>
    <mergeCell ref="Q19:S19"/>
    <mergeCell ref="E24:F24"/>
    <mergeCell ref="A26:C26"/>
    <mergeCell ref="D26:E26"/>
    <mergeCell ref="F26:G26"/>
    <mergeCell ref="H26:J27"/>
    <mergeCell ref="A21:C22"/>
    <mergeCell ref="D21:E22"/>
    <mergeCell ref="F21:G21"/>
    <mergeCell ref="F22:G22"/>
    <mergeCell ref="E23:F23"/>
    <mergeCell ref="A41:A45"/>
    <mergeCell ref="E43:F43"/>
    <mergeCell ref="K43:M44"/>
    <mergeCell ref="N43:P44"/>
    <mergeCell ref="Q43:S44"/>
    <mergeCell ref="AO26:AQ27"/>
    <mergeCell ref="A27:C27"/>
    <mergeCell ref="A36:G36"/>
    <mergeCell ref="A37:G37"/>
    <mergeCell ref="A38:G38"/>
    <mergeCell ref="Z26:AB27"/>
    <mergeCell ref="AC26:AE27"/>
    <mergeCell ref="AF26:AH27"/>
    <mergeCell ref="AI26:AK27"/>
    <mergeCell ref="AL26:AN27"/>
    <mergeCell ref="K26:M27"/>
    <mergeCell ref="N26:P27"/>
    <mergeCell ref="Q26:S27"/>
    <mergeCell ref="T26:V27"/>
    <mergeCell ref="W26:Y27"/>
    <mergeCell ref="AI43:AK44"/>
    <mergeCell ref="AL43:AN44"/>
    <mergeCell ref="AO43:AQ44"/>
    <mergeCell ref="H44:I44"/>
    <mergeCell ref="B45:G45"/>
    <mergeCell ref="T43:V44"/>
    <mergeCell ref="W43:Y44"/>
    <mergeCell ref="Z43:AB44"/>
    <mergeCell ref="AC43:AE44"/>
    <mergeCell ref="AF43:AH44"/>
    <mergeCell ref="A51:G51"/>
    <mergeCell ref="A56:G56"/>
    <mergeCell ref="H56:J56"/>
    <mergeCell ref="K56:M56"/>
    <mergeCell ref="N56:P56"/>
    <mergeCell ref="AI48:AK49"/>
    <mergeCell ref="AL48:AN49"/>
    <mergeCell ref="AO48:AQ49"/>
    <mergeCell ref="H49:I49"/>
    <mergeCell ref="B50:G50"/>
    <mergeCell ref="T48:V49"/>
    <mergeCell ref="W48:Y49"/>
    <mergeCell ref="Z48:AB49"/>
    <mergeCell ref="AC48:AE49"/>
    <mergeCell ref="AF48:AH49"/>
    <mergeCell ref="A46:A50"/>
    <mergeCell ref="E48:F48"/>
    <mergeCell ref="K48:M49"/>
    <mergeCell ref="N48:P49"/>
    <mergeCell ref="Q48:S49"/>
    <mergeCell ref="AF56:AH56"/>
    <mergeCell ref="AI56:AK56"/>
    <mergeCell ref="AL56:AN56"/>
    <mergeCell ref="AO56:AQ56"/>
    <mergeCell ref="A57:B58"/>
    <mergeCell ref="C57:C58"/>
    <mergeCell ref="D57:G58"/>
    <mergeCell ref="Q56:S56"/>
    <mergeCell ref="T56:V56"/>
    <mergeCell ref="W56:Y56"/>
    <mergeCell ref="Z56:AB56"/>
    <mergeCell ref="AC56:AE56"/>
    <mergeCell ref="N61:P61"/>
    <mergeCell ref="Q61:S61"/>
    <mergeCell ref="T61:V61"/>
    <mergeCell ref="A59:B64"/>
    <mergeCell ref="C59:C64"/>
    <mergeCell ref="D59:E60"/>
    <mergeCell ref="F59:G59"/>
    <mergeCell ref="F60:G60"/>
    <mergeCell ref="D61:G61"/>
    <mergeCell ref="F63:G63"/>
    <mergeCell ref="T63:V63"/>
    <mergeCell ref="AL61:AN61"/>
    <mergeCell ref="AO61:AQ61"/>
    <mergeCell ref="D62:E63"/>
    <mergeCell ref="F62:G62"/>
    <mergeCell ref="H62:J62"/>
    <mergeCell ref="K62:M62"/>
    <mergeCell ref="N62:P62"/>
    <mergeCell ref="Q62:S62"/>
    <mergeCell ref="T62:V62"/>
    <mergeCell ref="W62:Y62"/>
    <mergeCell ref="Z62:AB62"/>
    <mergeCell ref="AC62:AE62"/>
    <mergeCell ref="AF62:AH62"/>
    <mergeCell ref="AI62:AK62"/>
    <mergeCell ref="AL62:AN62"/>
    <mergeCell ref="AO62:AQ62"/>
    <mergeCell ref="W61:Y61"/>
    <mergeCell ref="Z61:AB61"/>
    <mergeCell ref="AC61:AE61"/>
    <mergeCell ref="AF61:AH61"/>
    <mergeCell ref="AI61:AK61"/>
    <mergeCell ref="H61:J61"/>
    <mergeCell ref="K61:M61"/>
    <mergeCell ref="AL63:AN63"/>
    <mergeCell ref="AO63:AQ63"/>
    <mergeCell ref="D64:G64"/>
    <mergeCell ref="H64:J64"/>
    <mergeCell ref="K64:M64"/>
    <mergeCell ref="N64:P64"/>
    <mergeCell ref="Q64:S64"/>
    <mergeCell ref="T64:V64"/>
    <mergeCell ref="W64:Y64"/>
    <mergeCell ref="Z64:AB64"/>
    <mergeCell ref="AC64:AE64"/>
    <mergeCell ref="AF64:AH64"/>
    <mergeCell ref="AI64:AK64"/>
    <mergeCell ref="AL64:AN64"/>
    <mergeCell ref="AO64:AQ64"/>
    <mergeCell ref="W63:Y63"/>
    <mergeCell ref="Z63:AB63"/>
    <mergeCell ref="AC63:AE63"/>
    <mergeCell ref="AF63:AH63"/>
    <mergeCell ref="AI63:AK63"/>
    <mergeCell ref="H63:J63"/>
    <mergeCell ref="K63:M63"/>
    <mergeCell ref="N63:P63"/>
    <mergeCell ref="Q63:S63"/>
    <mergeCell ref="N67:P67"/>
    <mergeCell ref="Q67:S67"/>
    <mergeCell ref="T67:V67"/>
    <mergeCell ref="A65:B70"/>
    <mergeCell ref="C65:C70"/>
    <mergeCell ref="D65:E66"/>
    <mergeCell ref="F65:G65"/>
    <mergeCell ref="F66:G66"/>
    <mergeCell ref="D67:G67"/>
    <mergeCell ref="F69:G69"/>
    <mergeCell ref="T69:V69"/>
    <mergeCell ref="AL67:AN67"/>
    <mergeCell ref="AO67:AQ67"/>
    <mergeCell ref="D68:E69"/>
    <mergeCell ref="F68:G68"/>
    <mergeCell ref="H68:J68"/>
    <mergeCell ref="K68:M68"/>
    <mergeCell ref="N68:P68"/>
    <mergeCell ref="Q68:S68"/>
    <mergeCell ref="T68:V68"/>
    <mergeCell ref="W68:Y68"/>
    <mergeCell ref="Z68:AB68"/>
    <mergeCell ref="AC68:AE68"/>
    <mergeCell ref="AF68:AH68"/>
    <mergeCell ref="AI68:AK68"/>
    <mergeCell ref="AL68:AN68"/>
    <mergeCell ref="AO68:AQ68"/>
    <mergeCell ref="W67:Y67"/>
    <mergeCell ref="Z67:AB67"/>
    <mergeCell ref="AC67:AE67"/>
    <mergeCell ref="AF67:AH67"/>
    <mergeCell ref="AI67:AK67"/>
    <mergeCell ref="H67:J67"/>
    <mergeCell ref="K67:M67"/>
    <mergeCell ref="AL69:AN69"/>
    <mergeCell ref="AO69:AQ69"/>
    <mergeCell ref="D70:G70"/>
    <mergeCell ref="H70:J70"/>
    <mergeCell ref="K70:M70"/>
    <mergeCell ref="N70:P70"/>
    <mergeCell ref="Q70:S70"/>
    <mergeCell ref="T70:V70"/>
    <mergeCell ref="W70:Y70"/>
    <mergeCell ref="Z70:AB70"/>
    <mergeCell ref="AC70:AE70"/>
    <mergeCell ref="AF70:AH70"/>
    <mergeCell ref="AI70:AK70"/>
    <mergeCell ref="AL70:AN70"/>
    <mergeCell ref="AO70:AQ70"/>
    <mergeCell ref="W69:Y69"/>
    <mergeCell ref="Z69:AB69"/>
    <mergeCell ref="AC69:AE69"/>
    <mergeCell ref="AF69:AH69"/>
    <mergeCell ref="AI69:AK69"/>
    <mergeCell ref="H69:J69"/>
    <mergeCell ref="K69:M69"/>
    <mergeCell ref="N69:P69"/>
    <mergeCell ref="Q69:S69"/>
    <mergeCell ref="E74:F74"/>
    <mergeCell ref="A76:C76"/>
    <mergeCell ref="D76:E76"/>
    <mergeCell ref="F76:G76"/>
    <mergeCell ref="H76:J77"/>
    <mergeCell ref="A71:C72"/>
    <mergeCell ref="D71:E72"/>
    <mergeCell ref="F71:G71"/>
    <mergeCell ref="F72:G72"/>
    <mergeCell ref="E73:F73"/>
    <mergeCell ref="A91:A95"/>
    <mergeCell ref="E93:F93"/>
    <mergeCell ref="H93:J94"/>
    <mergeCell ref="K93:M94"/>
    <mergeCell ref="N93:P94"/>
    <mergeCell ref="AO76:AQ77"/>
    <mergeCell ref="A77:C77"/>
    <mergeCell ref="A86:G86"/>
    <mergeCell ref="A87:G87"/>
    <mergeCell ref="A88:G88"/>
    <mergeCell ref="Z76:AB77"/>
    <mergeCell ref="AC76:AE77"/>
    <mergeCell ref="AF76:AH77"/>
    <mergeCell ref="AI76:AK77"/>
    <mergeCell ref="AL76:AN77"/>
    <mergeCell ref="K76:M77"/>
    <mergeCell ref="N76:P77"/>
    <mergeCell ref="Q76:S77"/>
    <mergeCell ref="T76:V77"/>
    <mergeCell ref="W76:Y77"/>
    <mergeCell ref="AF93:AH94"/>
    <mergeCell ref="AI93:AK94"/>
    <mergeCell ref="AL93:AN94"/>
    <mergeCell ref="AO93:AQ94"/>
    <mergeCell ref="B95:G95"/>
    <mergeCell ref="Q93:S94"/>
    <mergeCell ref="T93:V94"/>
    <mergeCell ref="W93:Y94"/>
    <mergeCell ref="Z93:AB94"/>
    <mergeCell ref="AC93:AE94"/>
    <mergeCell ref="A101:G101"/>
    <mergeCell ref="AF98:AH99"/>
    <mergeCell ref="AI98:AK99"/>
    <mergeCell ref="AL98:AN99"/>
    <mergeCell ref="AO98:AQ99"/>
    <mergeCell ref="B100:G100"/>
    <mergeCell ref="Q98:S99"/>
    <mergeCell ref="T98:V99"/>
    <mergeCell ref="W98:Y99"/>
    <mergeCell ref="Z98:AB99"/>
    <mergeCell ref="AC98:AE99"/>
    <mergeCell ref="A96:A100"/>
    <mergeCell ref="E98:F98"/>
    <mergeCell ref="H98:J99"/>
    <mergeCell ref="K98:M99"/>
    <mergeCell ref="N98:P99"/>
  </mergeCells>
  <pageMargins left="0.35433070866141736" right="0.23622047244094491" top="0.74803149606299213" bottom="0.74803149606299213" header="0.31496062992125984" footer="0.31496062992125984"/>
  <pageSetup paperSize="9" scale="3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42"/>
  <sheetViews>
    <sheetView tabSelected="1" zoomScale="70" zoomScaleNormal="70" workbookViewId="0">
      <selection activeCell="AZ33" sqref="AZ33"/>
    </sheetView>
  </sheetViews>
  <sheetFormatPr defaultRowHeight="12.75" x14ac:dyDescent="0.2"/>
  <cols>
    <col min="1" max="2" width="13.28515625" style="584" customWidth="1"/>
    <col min="3" max="4" width="12.140625" style="584" customWidth="1"/>
    <col min="5" max="5" width="5.140625" style="584" customWidth="1"/>
    <col min="6" max="6" width="8.140625" style="584" customWidth="1"/>
    <col min="7" max="7" width="8.5703125" style="584" customWidth="1"/>
    <col min="8" max="43" width="8.7109375" style="584" customWidth="1"/>
    <col min="44" max="79" width="8" style="584" customWidth="1"/>
    <col min="80" max="80" width="12" style="584" bestFit="1" customWidth="1"/>
    <col min="81" max="256" width="9.140625" style="584"/>
    <col min="257" max="258" width="13.28515625" style="584" customWidth="1"/>
    <col min="259" max="260" width="12.140625" style="584" customWidth="1"/>
    <col min="261" max="261" width="5.140625" style="584" customWidth="1"/>
    <col min="262" max="262" width="8.140625" style="584" customWidth="1"/>
    <col min="263" max="263" width="8.5703125" style="584" customWidth="1"/>
    <col min="264" max="299" width="8.7109375" style="584" customWidth="1"/>
    <col min="300" max="335" width="8" style="584" customWidth="1"/>
    <col min="336" max="336" width="12" style="584" bestFit="1" customWidth="1"/>
    <col min="337" max="512" width="9.140625" style="584"/>
    <col min="513" max="514" width="13.28515625" style="584" customWidth="1"/>
    <col min="515" max="516" width="12.140625" style="584" customWidth="1"/>
    <col min="517" max="517" width="5.140625" style="584" customWidth="1"/>
    <col min="518" max="518" width="8.140625" style="584" customWidth="1"/>
    <col min="519" max="519" width="8.5703125" style="584" customWidth="1"/>
    <col min="520" max="555" width="8.7109375" style="584" customWidth="1"/>
    <col min="556" max="591" width="8" style="584" customWidth="1"/>
    <col min="592" max="592" width="12" style="584" bestFit="1" customWidth="1"/>
    <col min="593" max="768" width="9.140625" style="584"/>
    <col min="769" max="770" width="13.28515625" style="584" customWidth="1"/>
    <col min="771" max="772" width="12.140625" style="584" customWidth="1"/>
    <col min="773" max="773" width="5.140625" style="584" customWidth="1"/>
    <col min="774" max="774" width="8.140625" style="584" customWidth="1"/>
    <col min="775" max="775" width="8.5703125" style="584" customWidth="1"/>
    <col min="776" max="811" width="8.7109375" style="584" customWidth="1"/>
    <col min="812" max="847" width="8" style="584" customWidth="1"/>
    <col min="848" max="848" width="12" style="584" bestFit="1" customWidth="1"/>
    <col min="849" max="1024" width="9.140625" style="584"/>
    <col min="1025" max="1026" width="13.28515625" style="584" customWidth="1"/>
    <col min="1027" max="1028" width="12.140625" style="584" customWidth="1"/>
    <col min="1029" max="1029" width="5.140625" style="584" customWidth="1"/>
    <col min="1030" max="1030" width="8.140625" style="584" customWidth="1"/>
    <col min="1031" max="1031" width="8.5703125" style="584" customWidth="1"/>
    <col min="1032" max="1067" width="8.7109375" style="584" customWidth="1"/>
    <col min="1068" max="1103" width="8" style="584" customWidth="1"/>
    <col min="1104" max="1104" width="12" style="584" bestFit="1" customWidth="1"/>
    <col min="1105" max="1280" width="9.140625" style="584"/>
    <col min="1281" max="1282" width="13.28515625" style="584" customWidth="1"/>
    <col min="1283" max="1284" width="12.140625" style="584" customWidth="1"/>
    <col min="1285" max="1285" width="5.140625" style="584" customWidth="1"/>
    <col min="1286" max="1286" width="8.140625" style="584" customWidth="1"/>
    <col min="1287" max="1287" width="8.5703125" style="584" customWidth="1"/>
    <col min="1288" max="1323" width="8.7109375" style="584" customWidth="1"/>
    <col min="1324" max="1359" width="8" style="584" customWidth="1"/>
    <col min="1360" max="1360" width="12" style="584" bestFit="1" customWidth="1"/>
    <col min="1361" max="1536" width="9.140625" style="584"/>
    <col min="1537" max="1538" width="13.28515625" style="584" customWidth="1"/>
    <col min="1539" max="1540" width="12.140625" style="584" customWidth="1"/>
    <col min="1541" max="1541" width="5.140625" style="584" customWidth="1"/>
    <col min="1542" max="1542" width="8.140625" style="584" customWidth="1"/>
    <col min="1543" max="1543" width="8.5703125" style="584" customWidth="1"/>
    <col min="1544" max="1579" width="8.7109375" style="584" customWidth="1"/>
    <col min="1580" max="1615" width="8" style="584" customWidth="1"/>
    <col min="1616" max="1616" width="12" style="584" bestFit="1" customWidth="1"/>
    <col min="1617" max="1792" width="9.140625" style="584"/>
    <col min="1793" max="1794" width="13.28515625" style="584" customWidth="1"/>
    <col min="1795" max="1796" width="12.140625" style="584" customWidth="1"/>
    <col min="1797" max="1797" width="5.140625" style="584" customWidth="1"/>
    <col min="1798" max="1798" width="8.140625" style="584" customWidth="1"/>
    <col min="1799" max="1799" width="8.5703125" style="584" customWidth="1"/>
    <col min="1800" max="1835" width="8.7109375" style="584" customWidth="1"/>
    <col min="1836" max="1871" width="8" style="584" customWidth="1"/>
    <col min="1872" max="1872" width="12" style="584" bestFit="1" customWidth="1"/>
    <col min="1873" max="2048" width="9.140625" style="584"/>
    <col min="2049" max="2050" width="13.28515625" style="584" customWidth="1"/>
    <col min="2051" max="2052" width="12.140625" style="584" customWidth="1"/>
    <col min="2053" max="2053" width="5.140625" style="584" customWidth="1"/>
    <col min="2054" max="2054" width="8.140625" style="584" customWidth="1"/>
    <col min="2055" max="2055" width="8.5703125" style="584" customWidth="1"/>
    <col min="2056" max="2091" width="8.7109375" style="584" customWidth="1"/>
    <col min="2092" max="2127" width="8" style="584" customWidth="1"/>
    <col min="2128" max="2128" width="12" style="584" bestFit="1" customWidth="1"/>
    <col min="2129" max="2304" width="9.140625" style="584"/>
    <col min="2305" max="2306" width="13.28515625" style="584" customWidth="1"/>
    <col min="2307" max="2308" width="12.140625" style="584" customWidth="1"/>
    <col min="2309" max="2309" width="5.140625" style="584" customWidth="1"/>
    <col min="2310" max="2310" width="8.140625" style="584" customWidth="1"/>
    <col min="2311" max="2311" width="8.5703125" style="584" customWidth="1"/>
    <col min="2312" max="2347" width="8.7109375" style="584" customWidth="1"/>
    <col min="2348" max="2383" width="8" style="584" customWidth="1"/>
    <col min="2384" max="2384" width="12" style="584" bestFit="1" customWidth="1"/>
    <col min="2385" max="2560" width="9.140625" style="584"/>
    <col min="2561" max="2562" width="13.28515625" style="584" customWidth="1"/>
    <col min="2563" max="2564" width="12.140625" style="584" customWidth="1"/>
    <col min="2565" max="2565" width="5.140625" style="584" customWidth="1"/>
    <col min="2566" max="2566" width="8.140625" style="584" customWidth="1"/>
    <col min="2567" max="2567" width="8.5703125" style="584" customWidth="1"/>
    <col min="2568" max="2603" width="8.7109375" style="584" customWidth="1"/>
    <col min="2604" max="2639" width="8" style="584" customWidth="1"/>
    <col min="2640" max="2640" width="12" style="584" bestFit="1" customWidth="1"/>
    <col min="2641" max="2816" width="9.140625" style="584"/>
    <col min="2817" max="2818" width="13.28515625" style="584" customWidth="1"/>
    <col min="2819" max="2820" width="12.140625" style="584" customWidth="1"/>
    <col min="2821" max="2821" width="5.140625" style="584" customWidth="1"/>
    <col min="2822" max="2822" width="8.140625" style="584" customWidth="1"/>
    <col min="2823" max="2823" width="8.5703125" style="584" customWidth="1"/>
    <col min="2824" max="2859" width="8.7109375" style="584" customWidth="1"/>
    <col min="2860" max="2895" width="8" style="584" customWidth="1"/>
    <col min="2896" max="2896" width="12" style="584" bestFit="1" customWidth="1"/>
    <col min="2897" max="3072" width="9.140625" style="584"/>
    <col min="3073" max="3074" width="13.28515625" style="584" customWidth="1"/>
    <col min="3075" max="3076" width="12.140625" style="584" customWidth="1"/>
    <col min="3077" max="3077" width="5.140625" style="584" customWidth="1"/>
    <col min="3078" max="3078" width="8.140625" style="584" customWidth="1"/>
    <col min="3079" max="3079" width="8.5703125" style="584" customWidth="1"/>
    <col min="3080" max="3115" width="8.7109375" style="584" customWidth="1"/>
    <col min="3116" max="3151" width="8" style="584" customWidth="1"/>
    <col min="3152" max="3152" width="12" style="584" bestFit="1" customWidth="1"/>
    <col min="3153" max="3328" width="9.140625" style="584"/>
    <col min="3329" max="3330" width="13.28515625" style="584" customWidth="1"/>
    <col min="3331" max="3332" width="12.140625" style="584" customWidth="1"/>
    <col min="3333" max="3333" width="5.140625" style="584" customWidth="1"/>
    <col min="3334" max="3334" width="8.140625" style="584" customWidth="1"/>
    <col min="3335" max="3335" width="8.5703125" style="584" customWidth="1"/>
    <col min="3336" max="3371" width="8.7109375" style="584" customWidth="1"/>
    <col min="3372" max="3407" width="8" style="584" customWidth="1"/>
    <col min="3408" max="3408" width="12" style="584" bestFit="1" customWidth="1"/>
    <col min="3409" max="3584" width="9.140625" style="584"/>
    <col min="3585" max="3586" width="13.28515625" style="584" customWidth="1"/>
    <col min="3587" max="3588" width="12.140625" style="584" customWidth="1"/>
    <col min="3589" max="3589" width="5.140625" style="584" customWidth="1"/>
    <col min="3590" max="3590" width="8.140625" style="584" customWidth="1"/>
    <col min="3591" max="3591" width="8.5703125" style="584" customWidth="1"/>
    <col min="3592" max="3627" width="8.7109375" style="584" customWidth="1"/>
    <col min="3628" max="3663" width="8" style="584" customWidth="1"/>
    <col min="3664" max="3664" width="12" style="584" bestFit="1" customWidth="1"/>
    <col min="3665" max="3840" width="9.140625" style="584"/>
    <col min="3841" max="3842" width="13.28515625" style="584" customWidth="1"/>
    <col min="3843" max="3844" width="12.140625" style="584" customWidth="1"/>
    <col min="3845" max="3845" width="5.140625" style="584" customWidth="1"/>
    <col min="3846" max="3846" width="8.140625" style="584" customWidth="1"/>
    <col min="3847" max="3847" width="8.5703125" style="584" customWidth="1"/>
    <col min="3848" max="3883" width="8.7109375" style="584" customWidth="1"/>
    <col min="3884" max="3919" width="8" style="584" customWidth="1"/>
    <col min="3920" max="3920" width="12" style="584" bestFit="1" customWidth="1"/>
    <col min="3921" max="4096" width="9.140625" style="584"/>
    <col min="4097" max="4098" width="13.28515625" style="584" customWidth="1"/>
    <col min="4099" max="4100" width="12.140625" style="584" customWidth="1"/>
    <col min="4101" max="4101" width="5.140625" style="584" customWidth="1"/>
    <col min="4102" max="4102" width="8.140625" style="584" customWidth="1"/>
    <col min="4103" max="4103" width="8.5703125" style="584" customWidth="1"/>
    <col min="4104" max="4139" width="8.7109375" style="584" customWidth="1"/>
    <col min="4140" max="4175" width="8" style="584" customWidth="1"/>
    <col min="4176" max="4176" width="12" style="584" bestFit="1" customWidth="1"/>
    <col min="4177" max="4352" width="9.140625" style="584"/>
    <col min="4353" max="4354" width="13.28515625" style="584" customWidth="1"/>
    <col min="4355" max="4356" width="12.140625" style="584" customWidth="1"/>
    <col min="4357" max="4357" width="5.140625" style="584" customWidth="1"/>
    <col min="4358" max="4358" width="8.140625" style="584" customWidth="1"/>
    <col min="4359" max="4359" width="8.5703125" style="584" customWidth="1"/>
    <col min="4360" max="4395" width="8.7109375" style="584" customWidth="1"/>
    <col min="4396" max="4431" width="8" style="584" customWidth="1"/>
    <col min="4432" max="4432" width="12" style="584" bestFit="1" customWidth="1"/>
    <col min="4433" max="4608" width="9.140625" style="584"/>
    <col min="4609" max="4610" width="13.28515625" style="584" customWidth="1"/>
    <col min="4611" max="4612" width="12.140625" style="584" customWidth="1"/>
    <col min="4613" max="4613" width="5.140625" style="584" customWidth="1"/>
    <col min="4614" max="4614" width="8.140625" style="584" customWidth="1"/>
    <col min="4615" max="4615" width="8.5703125" style="584" customWidth="1"/>
    <col min="4616" max="4651" width="8.7109375" style="584" customWidth="1"/>
    <col min="4652" max="4687" width="8" style="584" customWidth="1"/>
    <col min="4688" max="4688" width="12" style="584" bestFit="1" customWidth="1"/>
    <col min="4689" max="4864" width="9.140625" style="584"/>
    <col min="4865" max="4866" width="13.28515625" style="584" customWidth="1"/>
    <col min="4867" max="4868" width="12.140625" style="584" customWidth="1"/>
    <col min="4869" max="4869" width="5.140625" style="584" customWidth="1"/>
    <col min="4870" max="4870" width="8.140625" style="584" customWidth="1"/>
    <col min="4871" max="4871" width="8.5703125" style="584" customWidth="1"/>
    <col min="4872" max="4907" width="8.7109375" style="584" customWidth="1"/>
    <col min="4908" max="4943" width="8" style="584" customWidth="1"/>
    <col min="4944" max="4944" width="12" style="584" bestFit="1" customWidth="1"/>
    <col min="4945" max="5120" width="9.140625" style="584"/>
    <col min="5121" max="5122" width="13.28515625" style="584" customWidth="1"/>
    <col min="5123" max="5124" width="12.140625" style="584" customWidth="1"/>
    <col min="5125" max="5125" width="5.140625" style="584" customWidth="1"/>
    <col min="5126" max="5126" width="8.140625" style="584" customWidth="1"/>
    <col min="5127" max="5127" width="8.5703125" style="584" customWidth="1"/>
    <col min="5128" max="5163" width="8.7109375" style="584" customWidth="1"/>
    <col min="5164" max="5199" width="8" style="584" customWidth="1"/>
    <col min="5200" max="5200" width="12" style="584" bestFit="1" customWidth="1"/>
    <col min="5201" max="5376" width="9.140625" style="584"/>
    <col min="5377" max="5378" width="13.28515625" style="584" customWidth="1"/>
    <col min="5379" max="5380" width="12.140625" style="584" customWidth="1"/>
    <col min="5381" max="5381" width="5.140625" style="584" customWidth="1"/>
    <col min="5382" max="5382" width="8.140625" style="584" customWidth="1"/>
    <col min="5383" max="5383" width="8.5703125" style="584" customWidth="1"/>
    <col min="5384" max="5419" width="8.7109375" style="584" customWidth="1"/>
    <col min="5420" max="5455" width="8" style="584" customWidth="1"/>
    <col min="5456" max="5456" width="12" style="584" bestFit="1" customWidth="1"/>
    <col min="5457" max="5632" width="9.140625" style="584"/>
    <col min="5633" max="5634" width="13.28515625" style="584" customWidth="1"/>
    <col min="5635" max="5636" width="12.140625" style="584" customWidth="1"/>
    <col min="5637" max="5637" width="5.140625" style="584" customWidth="1"/>
    <col min="5638" max="5638" width="8.140625" style="584" customWidth="1"/>
    <col min="5639" max="5639" width="8.5703125" style="584" customWidth="1"/>
    <col min="5640" max="5675" width="8.7109375" style="584" customWidth="1"/>
    <col min="5676" max="5711" width="8" style="584" customWidth="1"/>
    <col min="5712" max="5712" width="12" style="584" bestFit="1" customWidth="1"/>
    <col min="5713" max="5888" width="9.140625" style="584"/>
    <col min="5889" max="5890" width="13.28515625" style="584" customWidth="1"/>
    <col min="5891" max="5892" width="12.140625" style="584" customWidth="1"/>
    <col min="5893" max="5893" width="5.140625" style="584" customWidth="1"/>
    <col min="5894" max="5894" width="8.140625" style="584" customWidth="1"/>
    <col min="5895" max="5895" width="8.5703125" style="584" customWidth="1"/>
    <col min="5896" max="5931" width="8.7109375" style="584" customWidth="1"/>
    <col min="5932" max="5967" width="8" style="584" customWidth="1"/>
    <col min="5968" max="5968" width="12" style="584" bestFit="1" customWidth="1"/>
    <col min="5969" max="6144" width="9.140625" style="584"/>
    <col min="6145" max="6146" width="13.28515625" style="584" customWidth="1"/>
    <col min="6147" max="6148" width="12.140625" style="584" customWidth="1"/>
    <col min="6149" max="6149" width="5.140625" style="584" customWidth="1"/>
    <col min="6150" max="6150" width="8.140625" style="584" customWidth="1"/>
    <col min="6151" max="6151" width="8.5703125" style="584" customWidth="1"/>
    <col min="6152" max="6187" width="8.7109375" style="584" customWidth="1"/>
    <col min="6188" max="6223" width="8" style="584" customWidth="1"/>
    <col min="6224" max="6224" width="12" style="584" bestFit="1" customWidth="1"/>
    <col min="6225" max="6400" width="9.140625" style="584"/>
    <col min="6401" max="6402" width="13.28515625" style="584" customWidth="1"/>
    <col min="6403" max="6404" width="12.140625" style="584" customWidth="1"/>
    <col min="6405" max="6405" width="5.140625" style="584" customWidth="1"/>
    <col min="6406" max="6406" width="8.140625" style="584" customWidth="1"/>
    <col min="6407" max="6407" width="8.5703125" style="584" customWidth="1"/>
    <col min="6408" max="6443" width="8.7109375" style="584" customWidth="1"/>
    <col min="6444" max="6479" width="8" style="584" customWidth="1"/>
    <col min="6480" max="6480" width="12" style="584" bestFit="1" customWidth="1"/>
    <col min="6481" max="6656" width="9.140625" style="584"/>
    <col min="6657" max="6658" width="13.28515625" style="584" customWidth="1"/>
    <col min="6659" max="6660" width="12.140625" style="584" customWidth="1"/>
    <col min="6661" max="6661" width="5.140625" style="584" customWidth="1"/>
    <col min="6662" max="6662" width="8.140625" style="584" customWidth="1"/>
    <col min="6663" max="6663" width="8.5703125" style="584" customWidth="1"/>
    <col min="6664" max="6699" width="8.7109375" style="584" customWidth="1"/>
    <col min="6700" max="6735" width="8" style="584" customWidth="1"/>
    <col min="6736" max="6736" width="12" style="584" bestFit="1" customWidth="1"/>
    <col min="6737" max="6912" width="9.140625" style="584"/>
    <col min="6913" max="6914" width="13.28515625" style="584" customWidth="1"/>
    <col min="6915" max="6916" width="12.140625" style="584" customWidth="1"/>
    <col min="6917" max="6917" width="5.140625" style="584" customWidth="1"/>
    <col min="6918" max="6918" width="8.140625" style="584" customWidth="1"/>
    <col min="6919" max="6919" width="8.5703125" style="584" customWidth="1"/>
    <col min="6920" max="6955" width="8.7109375" style="584" customWidth="1"/>
    <col min="6956" max="6991" width="8" style="584" customWidth="1"/>
    <col min="6992" max="6992" width="12" style="584" bestFit="1" customWidth="1"/>
    <col min="6993" max="7168" width="9.140625" style="584"/>
    <col min="7169" max="7170" width="13.28515625" style="584" customWidth="1"/>
    <col min="7171" max="7172" width="12.140625" style="584" customWidth="1"/>
    <col min="7173" max="7173" width="5.140625" style="584" customWidth="1"/>
    <col min="7174" max="7174" width="8.140625" style="584" customWidth="1"/>
    <col min="7175" max="7175" width="8.5703125" style="584" customWidth="1"/>
    <col min="7176" max="7211" width="8.7109375" style="584" customWidth="1"/>
    <col min="7212" max="7247" width="8" style="584" customWidth="1"/>
    <col min="7248" max="7248" width="12" style="584" bestFit="1" customWidth="1"/>
    <col min="7249" max="7424" width="9.140625" style="584"/>
    <col min="7425" max="7426" width="13.28515625" style="584" customWidth="1"/>
    <col min="7427" max="7428" width="12.140625" style="584" customWidth="1"/>
    <col min="7429" max="7429" width="5.140625" style="584" customWidth="1"/>
    <col min="7430" max="7430" width="8.140625" style="584" customWidth="1"/>
    <col min="7431" max="7431" width="8.5703125" style="584" customWidth="1"/>
    <col min="7432" max="7467" width="8.7109375" style="584" customWidth="1"/>
    <col min="7468" max="7503" width="8" style="584" customWidth="1"/>
    <col min="7504" max="7504" width="12" style="584" bestFit="1" customWidth="1"/>
    <col min="7505" max="7680" width="9.140625" style="584"/>
    <col min="7681" max="7682" width="13.28515625" style="584" customWidth="1"/>
    <col min="7683" max="7684" width="12.140625" style="584" customWidth="1"/>
    <col min="7685" max="7685" width="5.140625" style="584" customWidth="1"/>
    <col min="7686" max="7686" width="8.140625" style="584" customWidth="1"/>
    <col min="7687" max="7687" width="8.5703125" style="584" customWidth="1"/>
    <col min="7688" max="7723" width="8.7109375" style="584" customWidth="1"/>
    <col min="7724" max="7759" width="8" style="584" customWidth="1"/>
    <col min="7760" max="7760" width="12" style="584" bestFit="1" customWidth="1"/>
    <col min="7761" max="7936" width="9.140625" style="584"/>
    <col min="7937" max="7938" width="13.28515625" style="584" customWidth="1"/>
    <col min="7939" max="7940" width="12.140625" style="584" customWidth="1"/>
    <col min="7941" max="7941" width="5.140625" style="584" customWidth="1"/>
    <col min="7942" max="7942" width="8.140625" style="584" customWidth="1"/>
    <col min="7943" max="7943" width="8.5703125" style="584" customWidth="1"/>
    <col min="7944" max="7979" width="8.7109375" style="584" customWidth="1"/>
    <col min="7980" max="8015" width="8" style="584" customWidth="1"/>
    <col min="8016" max="8016" width="12" style="584" bestFit="1" customWidth="1"/>
    <col min="8017" max="8192" width="9.140625" style="584"/>
    <col min="8193" max="8194" width="13.28515625" style="584" customWidth="1"/>
    <col min="8195" max="8196" width="12.140625" style="584" customWidth="1"/>
    <col min="8197" max="8197" width="5.140625" style="584" customWidth="1"/>
    <col min="8198" max="8198" width="8.140625" style="584" customWidth="1"/>
    <col min="8199" max="8199" width="8.5703125" style="584" customWidth="1"/>
    <col min="8200" max="8235" width="8.7109375" style="584" customWidth="1"/>
    <col min="8236" max="8271" width="8" style="584" customWidth="1"/>
    <col min="8272" max="8272" width="12" style="584" bestFit="1" customWidth="1"/>
    <col min="8273" max="8448" width="9.140625" style="584"/>
    <col min="8449" max="8450" width="13.28515625" style="584" customWidth="1"/>
    <col min="8451" max="8452" width="12.140625" style="584" customWidth="1"/>
    <col min="8453" max="8453" width="5.140625" style="584" customWidth="1"/>
    <col min="8454" max="8454" width="8.140625" style="584" customWidth="1"/>
    <col min="8455" max="8455" width="8.5703125" style="584" customWidth="1"/>
    <col min="8456" max="8491" width="8.7109375" style="584" customWidth="1"/>
    <col min="8492" max="8527" width="8" style="584" customWidth="1"/>
    <col min="8528" max="8528" width="12" style="584" bestFit="1" customWidth="1"/>
    <col min="8529" max="8704" width="9.140625" style="584"/>
    <col min="8705" max="8706" width="13.28515625" style="584" customWidth="1"/>
    <col min="8707" max="8708" width="12.140625" style="584" customWidth="1"/>
    <col min="8709" max="8709" width="5.140625" style="584" customWidth="1"/>
    <col min="8710" max="8710" width="8.140625" style="584" customWidth="1"/>
    <col min="8711" max="8711" width="8.5703125" style="584" customWidth="1"/>
    <col min="8712" max="8747" width="8.7109375" style="584" customWidth="1"/>
    <col min="8748" max="8783" width="8" style="584" customWidth="1"/>
    <col min="8784" max="8784" width="12" style="584" bestFit="1" customWidth="1"/>
    <col min="8785" max="8960" width="9.140625" style="584"/>
    <col min="8961" max="8962" width="13.28515625" style="584" customWidth="1"/>
    <col min="8963" max="8964" width="12.140625" style="584" customWidth="1"/>
    <col min="8965" max="8965" width="5.140625" style="584" customWidth="1"/>
    <col min="8966" max="8966" width="8.140625" style="584" customWidth="1"/>
    <col min="8967" max="8967" width="8.5703125" style="584" customWidth="1"/>
    <col min="8968" max="9003" width="8.7109375" style="584" customWidth="1"/>
    <col min="9004" max="9039" width="8" style="584" customWidth="1"/>
    <col min="9040" max="9040" width="12" style="584" bestFit="1" customWidth="1"/>
    <col min="9041" max="9216" width="9.140625" style="584"/>
    <col min="9217" max="9218" width="13.28515625" style="584" customWidth="1"/>
    <col min="9219" max="9220" width="12.140625" style="584" customWidth="1"/>
    <col min="9221" max="9221" width="5.140625" style="584" customWidth="1"/>
    <col min="9222" max="9222" width="8.140625" style="584" customWidth="1"/>
    <col min="9223" max="9223" width="8.5703125" style="584" customWidth="1"/>
    <col min="9224" max="9259" width="8.7109375" style="584" customWidth="1"/>
    <col min="9260" max="9295" width="8" style="584" customWidth="1"/>
    <col min="9296" max="9296" width="12" style="584" bestFit="1" customWidth="1"/>
    <col min="9297" max="9472" width="9.140625" style="584"/>
    <col min="9473" max="9474" width="13.28515625" style="584" customWidth="1"/>
    <col min="9475" max="9476" width="12.140625" style="584" customWidth="1"/>
    <col min="9477" max="9477" width="5.140625" style="584" customWidth="1"/>
    <col min="9478" max="9478" width="8.140625" style="584" customWidth="1"/>
    <col min="9479" max="9479" width="8.5703125" style="584" customWidth="1"/>
    <col min="9480" max="9515" width="8.7109375" style="584" customWidth="1"/>
    <col min="9516" max="9551" width="8" style="584" customWidth="1"/>
    <col min="9552" max="9552" width="12" style="584" bestFit="1" customWidth="1"/>
    <col min="9553" max="9728" width="9.140625" style="584"/>
    <col min="9729" max="9730" width="13.28515625" style="584" customWidth="1"/>
    <col min="9731" max="9732" width="12.140625" style="584" customWidth="1"/>
    <col min="9733" max="9733" width="5.140625" style="584" customWidth="1"/>
    <col min="9734" max="9734" width="8.140625" style="584" customWidth="1"/>
    <col min="9735" max="9735" width="8.5703125" style="584" customWidth="1"/>
    <col min="9736" max="9771" width="8.7109375" style="584" customWidth="1"/>
    <col min="9772" max="9807" width="8" style="584" customWidth="1"/>
    <col min="9808" max="9808" width="12" style="584" bestFit="1" customWidth="1"/>
    <col min="9809" max="9984" width="9.140625" style="584"/>
    <col min="9985" max="9986" width="13.28515625" style="584" customWidth="1"/>
    <col min="9987" max="9988" width="12.140625" style="584" customWidth="1"/>
    <col min="9989" max="9989" width="5.140625" style="584" customWidth="1"/>
    <col min="9990" max="9990" width="8.140625" style="584" customWidth="1"/>
    <col min="9991" max="9991" width="8.5703125" style="584" customWidth="1"/>
    <col min="9992" max="10027" width="8.7109375" style="584" customWidth="1"/>
    <col min="10028" max="10063" width="8" style="584" customWidth="1"/>
    <col min="10064" max="10064" width="12" style="584" bestFit="1" customWidth="1"/>
    <col min="10065" max="10240" width="9.140625" style="584"/>
    <col min="10241" max="10242" width="13.28515625" style="584" customWidth="1"/>
    <col min="10243" max="10244" width="12.140625" style="584" customWidth="1"/>
    <col min="10245" max="10245" width="5.140625" style="584" customWidth="1"/>
    <col min="10246" max="10246" width="8.140625" style="584" customWidth="1"/>
    <col min="10247" max="10247" width="8.5703125" style="584" customWidth="1"/>
    <col min="10248" max="10283" width="8.7109375" style="584" customWidth="1"/>
    <col min="10284" max="10319" width="8" style="584" customWidth="1"/>
    <col min="10320" max="10320" width="12" style="584" bestFit="1" customWidth="1"/>
    <col min="10321" max="10496" width="9.140625" style="584"/>
    <col min="10497" max="10498" width="13.28515625" style="584" customWidth="1"/>
    <col min="10499" max="10500" width="12.140625" style="584" customWidth="1"/>
    <col min="10501" max="10501" width="5.140625" style="584" customWidth="1"/>
    <col min="10502" max="10502" width="8.140625" style="584" customWidth="1"/>
    <col min="10503" max="10503" width="8.5703125" style="584" customWidth="1"/>
    <col min="10504" max="10539" width="8.7109375" style="584" customWidth="1"/>
    <col min="10540" max="10575" width="8" style="584" customWidth="1"/>
    <col min="10576" max="10576" width="12" style="584" bestFit="1" customWidth="1"/>
    <col min="10577" max="10752" width="9.140625" style="584"/>
    <col min="10753" max="10754" width="13.28515625" style="584" customWidth="1"/>
    <col min="10755" max="10756" width="12.140625" style="584" customWidth="1"/>
    <col min="10757" max="10757" width="5.140625" style="584" customWidth="1"/>
    <col min="10758" max="10758" width="8.140625" style="584" customWidth="1"/>
    <col min="10759" max="10759" width="8.5703125" style="584" customWidth="1"/>
    <col min="10760" max="10795" width="8.7109375" style="584" customWidth="1"/>
    <col min="10796" max="10831" width="8" style="584" customWidth="1"/>
    <col min="10832" max="10832" width="12" style="584" bestFit="1" customWidth="1"/>
    <col min="10833" max="11008" width="9.140625" style="584"/>
    <col min="11009" max="11010" width="13.28515625" style="584" customWidth="1"/>
    <col min="11011" max="11012" width="12.140625" style="584" customWidth="1"/>
    <col min="11013" max="11013" width="5.140625" style="584" customWidth="1"/>
    <col min="11014" max="11014" width="8.140625" style="584" customWidth="1"/>
    <col min="11015" max="11015" width="8.5703125" style="584" customWidth="1"/>
    <col min="11016" max="11051" width="8.7109375" style="584" customWidth="1"/>
    <col min="11052" max="11087" width="8" style="584" customWidth="1"/>
    <col min="11088" max="11088" width="12" style="584" bestFit="1" customWidth="1"/>
    <col min="11089" max="11264" width="9.140625" style="584"/>
    <col min="11265" max="11266" width="13.28515625" style="584" customWidth="1"/>
    <col min="11267" max="11268" width="12.140625" style="584" customWidth="1"/>
    <col min="11269" max="11269" width="5.140625" style="584" customWidth="1"/>
    <col min="11270" max="11270" width="8.140625" style="584" customWidth="1"/>
    <col min="11271" max="11271" width="8.5703125" style="584" customWidth="1"/>
    <col min="11272" max="11307" width="8.7109375" style="584" customWidth="1"/>
    <col min="11308" max="11343" width="8" style="584" customWidth="1"/>
    <col min="11344" max="11344" width="12" style="584" bestFit="1" customWidth="1"/>
    <col min="11345" max="11520" width="9.140625" style="584"/>
    <col min="11521" max="11522" width="13.28515625" style="584" customWidth="1"/>
    <col min="11523" max="11524" width="12.140625" style="584" customWidth="1"/>
    <col min="11525" max="11525" width="5.140625" style="584" customWidth="1"/>
    <col min="11526" max="11526" width="8.140625" style="584" customWidth="1"/>
    <col min="11527" max="11527" width="8.5703125" style="584" customWidth="1"/>
    <col min="11528" max="11563" width="8.7109375" style="584" customWidth="1"/>
    <col min="11564" max="11599" width="8" style="584" customWidth="1"/>
    <col min="11600" max="11600" width="12" style="584" bestFit="1" customWidth="1"/>
    <col min="11601" max="11776" width="9.140625" style="584"/>
    <col min="11777" max="11778" width="13.28515625" style="584" customWidth="1"/>
    <col min="11779" max="11780" width="12.140625" style="584" customWidth="1"/>
    <col min="11781" max="11781" width="5.140625" style="584" customWidth="1"/>
    <col min="11782" max="11782" width="8.140625" style="584" customWidth="1"/>
    <col min="11783" max="11783" width="8.5703125" style="584" customWidth="1"/>
    <col min="11784" max="11819" width="8.7109375" style="584" customWidth="1"/>
    <col min="11820" max="11855" width="8" style="584" customWidth="1"/>
    <col min="11856" max="11856" width="12" style="584" bestFit="1" customWidth="1"/>
    <col min="11857" max="12032" width="9.140625" style="584"/>
    <col min="12033" max="12034" width="13.28515625" style="584" customWidth="1"/>
    <col min="12035" max="12036" width="12.140625" style="584" customWidth="1"/>
    <col min="12037" max="12037" width="5.140625" style="584" customWidth="1"/>
    <col min="12038" max="12038" width="8.140625" style="584" customWidth="1"/>
    <col min="12039" max="12039" width="8.5703125" style="584" customWidth="1"/>
    <col min="12040" max="12075" width="8.7109375" style="584" customWidth="1"/>
    <col min="12076" max="12111" width="8" style="584" customWidth="1"/>
    <col min="12112" max="12112" width="12" style="584" bestFit="1" customWidth="1"/>
    <col min="12113" max="12288" width="9.140625" style="584"/>
    <col min="12289" max="12290" width="13.28515625" style="584" customWidth="1"/>
    <col min="12291" max="12292" width="12.140625" style="584" customWidth="1"/>
    <col min="12293" max="12293" width="5.140625" style="584" customWidth="1"/>
    <col min="12294" max="12294" width="8.140625" style="584" customWidth="1"/>
    <col min="12295" max="12295" width="8.5703125" style="584" customWidth="1"/>
    <col min="12296" max="12331" width="8.7109375" style="584" customWidth="1"/>
    <col min="12332" max="12367" width="8" style="584" customWidth="1"/>
    <col min="12368" max="12368" width="12" style="584" bestFit="1" customWidth="1"/>
    <col min="12369" max="12544" width="9.140625" style="584"/>
    <col min="12545" max="12546" width="13.28515625" style="584" customWidth="1"/>
    <col min="12547" max="12548" width="12.140625" style="584" customWidth="1"/>
    <col min="12549" max="12549" width="5.140625" style="584" customWidth="1"/>
    <col min="12550" max="12550" width="8.140625" style="584" customWidth="1"/>
    <col min="12551" max="12551" width="8.5703125" style="584" customWidth="1"/>
    <col min="12552" max="12587" width="8.7109375" style="584" customWidth="1"/>
    <col min="12588" max="12623" width="8" style="584" customWidth="1"/>
    <col min="12624" max="12624" width="12" style="584" bestFit="1" customWidth="1"/>
    <col min="12625" max="12800" width="9.140625" style="584"/>
    <col min="12801" max="12802" width="13.28515625" style="584" customWidth="1"/>
    <col min="12803" max="12804" width="12.140625" style="584" customWidth="1"/>
    <col min="12805" max="12805" width="5.140625" style="584" customWidth="1"/>
    <col min="12806" max="12806" width="8.140625" style="584" customWidth="1"/>
    <col min="12807" max="12807" width="8.5703125" style="584" customWidth="1"/>
    <col min="12808" max="12843" width="8.7109375" style="584" customWidth="1"/>
    <col min="12844" max="12879" width="8" style="584" customWidth="1"/>
    <col min="12880" max="12880" width="12" style="584" bestFit="1" customWidth="1"/>
    <col min="12881" max="13056" width="9.140625" style="584"/>
    <col min="13057" max="13058" width="13.28515625" style="584" customWidth="1"/>
    <col min="13059" max="13060" width="12.140625" style="584" customWidth="1"/>
    <col min="13061" max="13061" width="5.140625" style="584" customWidth="1"/>
    <col min="13062" max="13062" width="8.140625" style="584" customWidth="1"/>
    <col min="13063" max="13063" width="8.5703125" style="584" customWidth="1"/>
    <col min="13064" max="13099" width="8.7109375" style="584" customWidth="1"/>
    <col min="13100" max="13135" width="8" style="584" customWidth="1"/>
    <col min="13136" max="13136" width="12" style="584" bestFit="1" customWidth="1"/>
    <col min="13137" max="13312" width="9.140625" style="584"/>
    <col min="13313" max="13314" width="13.28515625" style="584" customWidth="1"/>
    <col min="13315" max="13316" width="12.140625" style="584" customWidth="1"/>
    <col min="13317" max="13317" width="5.140625" style="584" customWidth="1"/>
    <col min="13318" max="13318" width="8.140625" style="584" customWidth="1"/>
    <col min="13319" max="13319" width="8.5703125" style="584" customWidth="1"/>
    <col min="13320" max="13355" width="8.7109375" style="584" customWidth="1"/>
    <col min="13356" max="13391" width="8" style="584" customWidth="1"/>
    <col min="13392" max="13392" width="12" style="584" bestFit="1" customWidth="1"/>
    <col min="13393" max="13568" width="9.140625" style="584"/>
    <col min="13569" max="13570" width="13.28515625" style="584" customWidth="1"/>
    <col min="13571" max="13572" width="12.140625" style="584" customWidth="1"/>
    <col min="13573" max="13573" width="5.140625" style="584" customWidth="1"/>
    <col min="13574" max="13574" width="8.140625" style="584" customWidth="1"/>
    <col min="13575" max="13575" width="8.5703125" style="584" customWidth="1"/>
    <col min="13576" max="13611" width="8.7109375" style="584" customWidth="1"/>
    <col min="13612" max="13647" width="8" style="584" customWidth="1"/>
    <col min="13648" max="13648" width="12" style="584" bestFit="1" customWidth="1"/>
    <col min="13649" max="13824" width="9.140625" style="584"/>
    <col min="13825" max="13826" width="13.28515625" style="584" customWidth="1"/>
    <col min="13827" max="13828" width="12.140625" style="584" customWidth="1"/>
    <col min="13829" max="13829" width="5.140625" style="584" customWidth="1"/>
    <col min="13830" max="13830" width="8.140625" style="584" customWidth="1"/>
    <col min="13831" max="13831" width="8.5703125" style="584" customWidth="1"/>
    <col min="13832" max="13867" width="8.7109375" style="584" customWidth="1"/>
    <col min="13868" max="13903" width="8" style="584" customWidth="1"/>
    <col min="13904" max="13904" width="12" style="584" bestFit="1" customWidth="1"/>
    <col min="13905" max="14080" width="9.140625" style="584"/>
    <col min="14081" max="14082" width="13.28515625" style="584" customWidth="1"/>
    <col min="14083" max="14084" width="12.140625" style="584" customWidth="1"/>
    <col min="14085" max="14085" width="5.140625" style="584" customWidth="1"/>
    <col min="14086" max="14086" width="8.140625" style="584" customWidth="1"/>
    <col min="14087" max="14087" width="8.5703125" style="584" customWidth="1"/>
    <col min="14088" max="14123" width="8.7109375" style="584" customWidth="1"/>
    <col min="14124" max="14159" width="8" style="584" customWidth="1"/>
    <col min="14160" max="14160" width="12" style="584" bestFit="1" customWidth="1"/>
    <col min="14161" max="14336" width="9.140625" style="584"/>
    <col min="14337" max="14338" width="13.28515625" style="584" customWidth="1"/>
    <col min="14339" max="14340" width="12.140625" style="584" customWidth="1"/>
    <col min="14341" max="14341" width="5.140625" style="584" customWidth="1"/>
    <col min="14342" max="14342" width="8.140625" style="584" customWidth="1"/>
    <col min="14343" max="14343" width="8.5703125" style="584" customWidth="1"/>
    <col min="14344" max="14379" width="8.7109375" style="584" customWidth="1"/>
    <col min="14380" max="14415" width="8" style="584" customWidth="1"/>
    <col min="14416" max="14416" width="12" style="584" bestFit="1" customWidth="1"/>
    <col min="14417" max="14592" width="9.140625" style="584"/>
    <col min="14593" max="14594" width="13.28515625" style="584" customWidth="1"/>
    <col min="14595" max="14596" width="12.140625" style="584" customWidth="1"/>
    <col min="14597" max="14597" width="5.140625" style="584" customWidth="1"/>
    <col min="14598" max="14598" width="8.140625" style="584" customWidth="1"/>
    <col min="14599" max="14599" width="8.5703125" style="584" customWidth="1"/>
    <col min="14600" max="14635" width="8.7109375" style="584" customWidth="1"/>
    <col min="14636" max="14671" width="8" style="584" customWidth="1"/>
    <col min="14672" max="14672" width="12" style="584" bestFit="1" customWidth="1"/>
    <col min="14673" max="14848" width="9.140625" style="584"/>
    <col min="14849" max="14850" width="13.28515625" style="584" customWidth="1"/>
    <col min="14851" max="14852" width="12.140625" style="584" customWidth="1"/>
    <col min="14853" max="14853" width="5.140625" style="584" customWidth="1"/>
    <col min="14854" max="14854" width="8.140625" style="584" customWidth="1"/>
    <col min="14855" max="14855" width="8.5703125" style="584" customWidth="1"/>
    <col min="14856" max="14891" width="8.7109375" style="584" customWidth="1"/>
    <col min="14892" max="14927" width="8" style="584" customWidth="1"/>
    <col min="14928" max="14928" width="12" style="584" bestFit="1" customWidth="1"/>
    <col min="14929" max="15104" width="9.140625" style="584"/>
    <col min="15105" max="15106" width="13.28515625" style="584" customWidth="1"/>
    <col min="15107" max="15108" width="12.140625" style="584" customWidth="1"/>
    <col min="15109" max="15109" width="5.140625" style="584" customWidth="1"/>
    <col min="15110" max="15110" width="8.140625" style="584" customWidth="1"/>
    <col min="15111" max="15111" width="8.5703125" style="584" customWidth="1"/>
    <col min="15112" max="15147" width="8.7109375" style="584" customWidth="1"/>
    <col min="15148" max="15183" width="8" style="584" customWidth="1"/>
    <col min="15184" max="15184" width="12" style="584" bestFit="1" customWidth="1"/>
    <col min="15185" max="15360" width="9.140625" style="584"/>
    <col min="15361" max="15362" width="13.28515625" style="584" customWidth="1"/>
    <col min="15363" max="15364" width="12.140625" style="584" customWidth="1"/>
    <col min="15365" max="15365" width="5.140625" style="584" customWidth="1"/>
    <col min="15366" max="15366" width="8.140625" style="584" customWidth="1"/>
    <col min="15367" max="15367" width="8.5703125" style="584" customWidth="1"/>
    <col min="15368" max="15403" width="8.7109375" style="584" customWidth="1"/>
    <col min="15404" max="15439" width="8" style="584" customWidth="1"/>
    <col min="15440" max="15440" width="12" style="584" bestFit="1" customWidth="1"/>
    <col min="15441" max="15616" width="9.140625" style="584"/>
    <col min="15617" max="15618" width="13.28515625" style="584" customWidth="1"/>
    <col min="15619" max="15620" width="12.140625" style="584" customWidth="1"/>
    <col min="15621" max="15621" width="5.140625" style="584" customWidth="1"/>
    <col min="15622" max="15622" width="8.140625" style="584" customWidth="1"/>
    <col min="15623" max="15623" width="8.5703125" style="584" customWidth="1"/>
    <col min="15624" max="15659" width="8.7109375" style="584" customWidth="1"/>
    <col min="15660" max="15695" width="8" style="584" customWidth="1"/>
    <col min="15696" max="15696" width="12" style="584" bestFit="1" customWidth="1"/>
    <col min="15697" max="15872" width="9.140625" style="584"/>
    <col min="15873" max="15874" width="13.28515625" style="584" customWidth="1"/>
    <col min="15875" max="15876" width="12.140625" style="584" customWidth="1"/>
    <col min="15877" max="15877" width="5.140625" style="584" customWidth="1"/>
    <col min="15878" max="15878" width="8.140625" style="584" customWidth="1"/>
    <col min="15879" max="15879" width="8.5703125" style="584" customWidth="1"/>
    <col min="15880" max="15915" width="8.7109375" style="584" customWidth="1"/>
    <col min="15916" max="15951" width="8" style="584" customWidth="1"/>
    <col min="15952" max="15952" width="12" style="584" bestFit="1" customWidth="1"/>
    <col min="15953" max="16128" width="9.140625" style="584"/>
    <col min="16129" max="16130" width="13.28515625" style="584" customWidth="1"/>
    <col min="16131" max="16132" width="12.140625" style="584" customWidth="1"/>
    <col min="16133" max="16133" width="5.140625" style="584" customWidth="1"/>
    <col min="16134" max="16134" width="8.140625" style="584" customWidth="1"/>
    <col min="16135" max="16135" width="8.5703125" style="584" customWidth="1"/>
    <col min="16136" max="16171" width="8.7109375" style="584" customWidth="1"/>
    <col min="16172" max="16207" width="8" style="584" customWidth="1"/>
    <col min="16208" max="16208" width="12" style="584" bestFit="1" customWidth="1"/>
    <col min="16209" max="16384" width="9.140625" style="584"/>
  </cols>
  <sheetData>
    <row r="1" spans="1:83" s="433" customFormat="1" ht="26.25" x14ac:dyDescent="0.4">
      <c r="H1" s="434"/>
      <c r="I1" s="435"/>
      <c r="J1" s="435"/>
      <c r="K1" s="434"/>
      <c r="L1" s="435"/>
      <c r="M1" s="435"/>
      <c r="N1" s="434"/>
      <c r="O1" s="435"/>
      <c r="P1" s="435"/>
      <c r="Q1" s="434"/>
      <c r="R1" s="435"/>
      <c r="S1" s="435"/>
      <c r="T1" s="434"/>
      <c r="U1" s="435"/>
      <c r="V1" s="435"/>
      <c r="W1" s="434"/>
      <c r="X1" s="435"/>
      <c r="Y1" s="435"/>
      <c r="Z1" s="434"/>
      <c r="AA1" s="435"/>
      <c r="AB1" s="435"/>
      <c r="AC1" s="434"/>
      <c r="AD1" s="435"/>
      <c r="AE1" s="435"/>
      <c r="AF1" s="434"/>
      <c r="AG1" s="435"/>
      <c r="AH1" s="435"/>
      <c r="AI1" s="434"/>
      <c r="AJ1" s="435"/>
      <c r="AK1" s="435"/>
      <c r="AL1" s="434"/>
      <c r="AM1" s="435"/>
      <c r="AN1" s="435"/>
      <c r="AO1" s="434"/>
      <c r="AP1" s="435"/>
      <c r="AQ1" s="436"/>
      <c r="AR1" s="434"/>
      <c r="AS1" s="435"/>
      <c r="AT1" s="435"/>
      <c r="AU1" s="434"/>
      <c r="AV1" s="435"/>
      <c r="AW1" s="435"/>
      <c r="AX1" s="434"/>
      <c r="AY1" s="435"/>
      <c r="AZ1" s="435"/>
      <c r="BA1" s="434"/>
      <c r="BB1" s="435"/>
      <c r="BC1" s="435"/>
      <c r="BD1" s="434"/>
      <c r="BE1" s="435"/>
      <c r="BF1" s="435"/>
      <c r="BG1" s="434"/>
      <c r="BH1" s="435"/>
      <c r="BI1" s="435"/>
      <c r="BJ1" s="434"/>
      <c r="BK1" s="435"/>
      <c r="BL1" s="435"/>
      <c r="BM1" s="434"/>
      <c r="BN1" s="435"/>
      <c r="BO1" s="435"/>
      <c r="BP1" s="434"/>
      <c r="BQ1" s="435"/>
      <c r="BR1" s="435"/>
      <c r="BS1" s="434"/>
      <c r="BT1" s="435"/>
      <c r="BU1" s="435"/>
      <c r="BV1" s="434"/>
      <c r="BW1" s="435"/>
      <c r="BX1" s="435"/>
      <c r="BY1" s="434"/>
      <c r="BZ1" s="435"/>
      <c r="CA1" s="437"/>
    </row>
    <row r="2" spans="1:83" s="433" customFormat="1" ht="16.5" x14ac:dyDescent="0.25">
      <c r="H2" s="434"/>
      <c r="I2" s="972"/>
      <c r="J2" s="973"/>
      <c r="K2" s="434"/>
      <c r="L2" s="972"/>
      <c r="M2" s="973"/>
      <c r="N2" s="434"/>
      <c r="O2" s="972"/>
      <c r="P2" s="973"/>
      <c r="Q2" s="434"/>
      <c r="R2" s="972"/>
      <c r="S2" s="973"/>
      <c r="T2" s="434"/>
      <c r="U2" s="972"/>
      <c r="V2" s="973"/>
      <c r="W2" s="434"/>
      <c r="X2" s="972"/>
      <c r="Y2" s="973"/>
      <c r="Z2" s="434"/>
      <c r="AA2" s="972"/>
      <c r="AB2" s="973"/>
      <c r="AC2" s="434"/>
      <c r="AD2" s="972"/>
      <c r="AE2" s="973"/>
      <c r="AF2" s="434"/>
      <c r="AG2" s="972"/>
      <c r="AH2" s="973"/>
      <c r="AI2" s="434"/>
      <c r="AJ2" s="972"/>
      <c r="AK2" s="973"/>
      <c r="AL2" s="434"/>
      <c r="AM2" s="435"/>
      <c r="AN2" s="435"/>
      <c r="AO2" s="434"/>
      <c r="AP2" s="435"/>
      <c r="AQ2" s="435"/>
      <c r="AR2" s="434"/>
      <c r="AS2" s="435"/>
      <c r="AT2" s="435"/>
      <c r="AU2" s="434"/>
      <c r="AV2" s="435"/>
      <c r="AW2" s="435"/>
      <c r="AX2" s="434"/>
      <c r="AY2" s="435"/>
      <c r="AZ2" s="435"/>
      <c r="BA2" s="434"/>
      <c r="BB2" s="435"/>
      <c r="BC2" s="435"/>
      <c r="BD2" s="434"/>
      <c r="BE2" s="435"/>
      <c r="BF2" s="435"/>
      <c r="BG2" s="434"/>
      <c r="BH2" s="435"/>
      <c r="BI2" s="435"/>
      <c r="BJ2" s="434"/>
      <c r="BK2" s="435"/>
      <c r="BL2" s="435"/>
      <c r="BM2" s="434"/>
      <c r="BN2" s="435"/>
      <c r="BO2" s="435"/>
      <c r="BP2" s="434"/>
      <c r="BQ2" s="435"/>
      <c r="BR2" s="435"/>
      <c r="BS2" s="434"/>
      <c r="BT2" s="435"/>
      <c r="BU2" s="435"/>
      <c r="BV2" s="434"/>
      <c r="BW2" s="435"/>
      <c r="BX2" s="435"/>
      <c r="BY2" s="434"/>
      <c r="BZ2" s="435"/>
      <c r="CA2" s="435"/>
    </row>
    <row r="3" spans="1:83" s="433" customFormat="1" ht="26.25" customHeight="1" x14ac:dyDescent="0.35">
      <c r="A3" s="1452" t="s">
        <v>2173</v>
      </c>
      <c r="B3" s="1452"/>
      <c r="C3" s="1452"/>
      <c r="D3" s="1452"/>
      <c r="E3" s="1452"/>
      <c r="F3" s="1452"/>
      <c r="G3" s="1452"/>
      <c r="H3" s="1452"/>
      <c r="I3" s="1452"/>
      <c r="J3" s="1452"/>
      <c r="K3" s="1452"/>
      <c r="L3" s="1452"/>
      <c r="M3" s="1452"/>
      <c r="N3" s="1452"/>
      <c r="O3" s="1452"/>
      <c r="P3" s="1452"/>
      <c r="Q3" s="1452"/>
      <c r="R3" s="1452"/>
      <c r="S3" s="1452"/>
      <c r="T3" s="1452"/>
      <c r="U3" s="1452"/>
      <c r="V3" s="1452"/>
      <c r="W3" s="1452"/>
      <c r="X3" s="1452"/>
      <c r="Y3" s="1452"/>
      <c r="Z3" s="1452"/>
      <c r="AA3" s="1452"/>
      <c r="AB3" s="1452"/>
      <c r="AC3" s="1452"/>
      <c r="AD3" s="1452"/>
      <c r="AE3" s="1452"/>
      <c r="AF3" s="1452"/>
      <c r="AG3" s="1452"/>
      <c r="AH3" s="1452"/>
      <c r="AI3" s="1452"/>
      <c r="AJ3" s="1452"/>
      <c r="AK3" s="1452"/>
      <c r="AL3" s="1452"/>
      <c r="AM3" s="1452"/>
      <c r="AN3" s="1452"/>
      <c r="AO3" s="1452"/>
      <c r="AP3" s="1452"/>
      <c r="AQ3" s="1452"/>
      <c r="BV3" s="438"/>
      <c r="BW3" s="438"/>
      <c r="BX3" s="438"/>
      <c r="BY3" s="439"/>
      <c r="BZ3" s="438"/>
      <c r="CA3" s="438"/>
      <c r="CB3" s="438"/>
      <c r="CC3" s="438"/>
    </row>
    <row r="4" spans="1:83" s="446" customFormat="1" ht="27.75" x14ac:dyDescent="0.4">
      <c r="A4" s="433"/>
      <c r="B4" s="438"/>
      <c r="C4" s="438"/>
      <c r="D4" s="438"/>
      <c r="E4" s="438"/>
      <c r="F4" s="440"/>
      <c r="G4" s="438"/>
      <c r="H4" s="438"/>
      <c r="I4" s="433"/>
      <c r="J4" s="433"/>
      <c r="K4" s="441"/>
      <c r="L4" s="441"/>
      <c r="M4" s="441"/>
      <c r="N4" s="442"/>
      <c r="O4" s="438"/>
      <c r="P4" s="438"/>
      <c r="Q4" s="433"/>
      <c r="R4" s="433"/>
      <c r="S4" s="433"/>
      <c r="T4" s="433"/>
      <c r="U4" s="433"/>
      <c r="V4" s="433"/>
      <c r="W4" s="433"/>
      <c r="X4" s="433"/>
      <c r="Y4" s="433"/>
      <c r="Z4" s="433"/>
      <c r="AA4" s="433"/>
      <c r="AB4" s="433"/>
      <c r="AC4" s="433"/>
      <c r="AD4" s="433"/>
      <c r="AE4" s="433"/>
      <c r="AF4" s="433"/>
      <c r="AG4" s="433"/>
      <c r="AH4" s="433"/>
      <c r="AI4" s="433"/>
      <c r="AJ4" s="433"/>
      <c r="AK4" s="433"/>
      <c r="AL4" s="433"/>
      <c r="AM4" s="443" t="s">
        <v>2121</v>
      </c>
      <c r="AN4" s="1453">
        <v>41990</v>
      </c>
      <c r="AO4" s="1453"/>
      <c r="AP4" s="1453"/>
      <c r="AQ4" s="1453"/>
      <c r="AR4" s="433"/>
      <c r="AS4" s="433"/>
      <c r="AT4" s="433"/>
      <c r="AU4" s="433"/>
      <c r="AV4" s="433"/>
      <c r="AW4" s="433"/>
      <c r="AX4" s="433"/>
      <c r="AY4" s="433"/>
      <c r="AZ4" s="433"/>
      <c r="BA4" s="433"/>
      <c r="BB4" s="433"/>
      <c r="BC4" s="433"/>
      <c r="BD4" s="433"/>
      <c r="BE4" s="433"/>
      <c r="BF4" s="433"/>
      <c r="BG4" s="433"/>
      <c r="BH4" s="433"/>
      <c r="BI4" s="433"/>
      <c r="BJ4" s="433"/>
      <c r="BK4" s="433"/>
      <c r="BL4" s="433"/>
      <c r="BM4" s="433"/>
      <c r="BN4" s="433"/>
      <c r="BO4" s="433"/>
      <c r="BP4" s="433"/>
      <c r="BQ4" s="433"/>
      <c r="BR4" s="433"/>
      <c r="BS4" s="433"/>
      <c r="BT4" s="433"/>
      <c r="BU4" s="433"/>
      <c r="BV4" s="444"/>
      <c r="BW4" s="438"/>
      <c r="BX4" s="1454"/>
      <c r="BY4" s="1454"/>
      <c r="BZ4" s="1454"/>
      <c r="CA4" s="1454"/>
      <c r="CB4" s="445"/>
      <c r="CC4" s="445"/>
    </row>
    <row r="5" spans="1:83" s="446" customFormat="1" ht="17.25" thickBot="1" x14ac:dyDescent="0.3">
      <c r="A5" s="433"/>
      <c r="B5" s="438"/>
      <c r="C5" s="438"/>
      <c r="D5" s="438"/>
      <c r="E5" s="438"/>
      <c r="F5" s="438"/>
      <c r="G5" s="438"/>
      <c r="H5" s="438"/>
      <c r="I5" s="476"/>
      <c r="J5" s="476"/>
      <c r="K5" s="587"/>
      <c r="L5" s="476"/>
      <c r="M5" s="438"/>
      <c r="N5" s="433"/>
      <c r="O5" s="476"/>
      <c r="P5" s="433"/>
      <c r="Q5" s="433"/>
      <c r="R5" s="476"/>
      <c r="S5" s="433"/>
      <c r="T5" s="433"/>
      <c r="U5" s="476"/>
      <c r="V5" s="433"/>
      <c r="W5" s="433"/>
      <c r="X5" s="476"/>
      <c r="Y5" s="433"/>
      <c r="Z5" s="433"/>
      <c r="AA5" s="476"/>
      <c r="AB5" s="433"/>
      <c r="AC5" s="433"/>
      <c r="AD5" s="476"/>
      <c r="AE5" s="433"/>
      <c r="AF5" s="433"/>
      <c r="AG5" s="476"/>
      <c r="AH5" s="433"/>
      <c r="AI5" s="433"/>
      <c r="AJ5" s="476"/>
      <c r="AK5" s="433"/>
      <c r="AL5" s="433"/>
      <c r="AM5" s="476"/>
      <c r="AN5" s="433"/>
      <c r="AO5" s="433"/>
      <c r="AP5" s="476"/>
      <c r="AQ5" s="433"/>
      <c r="AR5" s="433"/>
      <c r="AS5" s="433"/>
      <c r="AT5" s="433"/>
      <c r="AU5" s="433"/>
      <c r="AV5" s="433"/>
      <c r="AW5" s="433"/>
      <c r="AX5" s="433"/>
      <c r="AY5" s="433"/>
      <c r="AZ5" s="433"/>
      <c r="BA5" s="433"/>
      <c r="BB5" s="433"/>
      <c r="BC5" s="433"/>
      <c r="BD5" s="433"/>
      <c r="BE5" s="433"/>
      <c r="BF5" s="433"/>
      <c r="BG5" s="433"/>
      <c r="BH5" s="433"/>
      <c r="BI5" s="433"/>
      <c r="BJ5" s="433"/>
      <c r="BK5" s="433"/>
      <c r="BL5" s="433"/>
      <c r="BM5" s="433"/>
      <c r="BN5" s="433"/>
      <c r="BO5" s="433"/>
      <c r="BP5" s="433"/>
      <c r="BQ5" s="433"/>
      <c r="BR5" s="433"/>
      <c r="BS5" s="433"/>
      <c r="BT5" s="433"/>
      <c r="BU5" s="433"/>
      <c r="BV5" s="438"/>
      <c r="BW5" s="438"/>
      <c r="BX5" s="438"/>
      <c r="BY5" s="438"/>
      <c r="BZ5" s="438"/>
      <c r="CA5" s="438"/>
      <c r="CB5" s="445"/>
      <c r="CC5" s="445"/>
    </row>
    <row r="6" spans="1:83" s="446" customFormat="1" ht="16.5" customHeight="1" thickBot="1" x14ac:dyDescent="0.3">
      <c r="A6" s="1435" t="s">
        <v>2</v>
      </c>
      <c r="B6" s="1436"/>
      <c r="C6" s="1436"/>
      <c r="D6" s="1436"/>
      <c r="E6" s="1436"/>
      <c r="F6" s="1436"/>
      <c r="G6" s="1437"/>
      <c r="H6" s="1420" t="s">
        <v>3</v>
      </c>
      <c r="I6" s="1421"/>
      <c r="J6" s="1422"/>
      <c r="K6" s="1420" t="s">
        <v>4</v>
      </c>
      <c r="L6" s="1421"/>
      <c r="M6" s="1422"/>
      <c r="N6" s="1420" t="s">
        <v>102</v>
      </c>
      <c r="O6" s="1421"/>
      <c r="P6" s="1422"/>
      <c r="Q6" s="1420" t="s">
        <v>103</v>
      </c>
      <c r="R6" s="1421"/>
      <c r="S6" s="1422"/>
      <c r="T6" s="1420" t="s">
        <v>104</v>
      </c>
      <c r="U6" s="1421"/>
      <c r="V6" s="1422"/>
      <c r="W6" s="1420" t="s">
        <v>105</v>
      </c>
      <c r="X6" s="1421"/>
      <c r="Y6" s="1422"/>
      <c r="Z6" s="1420" t="s">
        <v>106</v>
      </c>
      <c r="AA6" s="1421"/>
      <c r="AB6" s="1422"/>
      <c r="AC6" s="1420" t="s">
        <v>108</v>
      </c>
      <c r="AD6" s="1421"/>
      <c r="AE6" s="1422"/>
      <c r="AF6" s="1420" t="s">
        <v>107</v>
      </c>
      <c r="AG6" s="1421"/>
      <c r="AH6" s="1422"/>
      <c r="AI6" s="1420" t="s">
        <v>109</v>
      </c>
      <c r="AJ6" s="1421"/>
      <c r="AK6" s="1422"/>
      <c r="AL6" s="1420" t="s">
        <v>110</v>
      </c>
      <c r="AM6" s="1421"/>
      <c r="AN6" s="1422"/>
      <c r="AO6" s="1420" t="s">
        <v>111</v>
      </c>
      <c r="AP6" s="1421"/>
      <c r="AQ6" s="1422"/>
      <c r="BV6" s="445"/>
      <c r="BW6" s="445"/>
      <c r="BX6" s="445"/>
      <c r="BY6" s="445"/>
      <c r="BZ6" s="445"/>
      <c r="CA6" s="445"/>
      <c r="CB6" s="445"/>
      <c r="CC6" s="445"/>
    </row>
    <row r="7" spans="1:83" s="446" customFormat="1" ht="16.5" customHeight="1" x14ac:dyDescent="0.25">
      <c r="A7" s="1423" t="s">
        <v>2122</v>
      </c>
      <c r="B7" s="1424"/>
      <c r="C7" s="1427" t="s">
        <v>2123</v>
      </c>
      <c r="D7" s="1429"/>
      <c r="E7" s="1430"/>
      <c r="F7" s="1430"/>
      <c r="G7" s="1431"/>
      <c r="H7" s="447" t="s">
        <v>2124</v>
      </c>
      <c r="I7" s="448" t="s">
        <v>2125</v>
      </c>
      <c r="J7" s="449" t="s">
        <v>2126</v>
      </c>
      <c r="K7" s="447" t="s">
        <v>2124</v>
      </c>
      <c r="L7" s="448" t="s">
        <v>2125</v>
      </c>
      <c r="M7" s="449" t="s">
        <v>2126</v>
      </c>
      <c r="N7" s="447" t="s">
        <v>2124</v>
      </c>
      <c r="O7" s="448" t="s">
        <v>2125</v>
      </c>
      <c r="P7" s="449" t="s">
        <v>2126</v>
      </c>
      <c r="Q7" s="447" t="s">
        <v>2124</v>
      </c>
      <c r="R7" s="448" t="s">
        <v>2125</v>
      </c>
      <c r="S7" s="449" t="s">
        <v>2126</v>
      </c>
      <c r="T7" s="447" t="s">
        <v>2124</v>
      </c>
      <c r="U7" s="448" t="s">
        <v>2125</v>
      </c>
      <c r="V7" s="449" t="s">
        <v>2126</v>
      </c>
      <c r="W7" s="447" t="s">
        <v>2124</v>
      </c>
      <c r="X7" s="448" t="s">
        <v>2125</v>
      </c>
      <c r="Y7" s="449" t="s">
        <v>2126</v>
      </c>
      <c r="Z7" s="447" t="s">
        <v>2124</v>
      </c>
      <c r="AA7" s="448" t="s">
        <v>2125</v>
      </c>
      <c r="AB7" s="449" t="s">
        <v>2126</v>
      </c>
      <c r="AC7" s="447" t="s">
        <v>2124</v>
      </c>
      <c r="AD7" s="448" t="s">
        <v>2125</v>
      </c>
      <c r="AE7" s="449" t="s">
        <v>2126</v>
      </c>
      <c r="AF7" s="447" t="s">
        <v>2124</v>
      </c>
      <c r="AG7" s="448" t="s">
        <v>2125</v>
      </c>
      <c r="AH7" s="449" t="s">
        <v>2126</v>
      </c>
      <c r="AI7" s="447" t="s">
        <v>2124</v>
      </c>
      <c r="AJ7" s="448" t="s">
        <v>2125</v>
      </c>
      <c r="AK7" s="449" t="s">
        <v>2126</v>
      </c>
      <c r="AL7" s="447" t="s">
        <v>2124</v>
      </c>
      <c r="AM7" s="448" t="s">
        <v>2125</v>
      </c>
      <c r="AN7" s="449" t="s">
        <v>2126</v>
      </c>
      <c r="AO7" s="447" t="s">
        <v>2124</v>
      </c>
      <c r="AP7" s="448" t="s">
        <v>2125</v>
      </c>
      <c r="AQ7" s="449" t="s">
        <v>2126</v>
      </c>
      <c r="BV7" s="445"/>
      <c r="BW7" s="445"/>
      <c r="BX7" s="445"/>
      <c r="BY7" s="445"/>
      <c r="BZ7" s="445"/>
      <c r="CA7" s="445"/>
      <c r="CB7" s="445"/>
      <c r="CC7" s="445"/>
    </row>
    <row r="8" spans="1:83" s="446" customFormat="1" ht="16.5" customHeight="1" thickBot="1" x14ac:dyDescent="0.3">
      <c r="A8" s="1425"/>
      <c r="B8" s="1426"/>
      <c r="C8" s="1428"/>
      <c r="D8" s="1432"/>
      <c r="E8" s="1433"/>
      <c r="F8" s="1433"/>
      <c r="G8" s="1434"/>
      <c r="H8" s="450" t="s">
        <v>2127</v>
      </c>
      <c r="I8" s="451" t="s">
        <v>2128</v>
      </c>
      <c r="J8" s="452" t="s">
        <v>2129</v>
      </c>
      <c r="K8" s="450" t="s">
        <v>2127</v>
      </c>
      <c r="L8" s="451" t="s">
        <v>2128</v>
      </c>
      <c r="M8" s="452" t="s">
        <v>2129</v>
      </c>
      <c r="N8" s="450" t="s">
        <v>2127</v>
      </c>
      <c r="O8" s="451" t="s">
        <v>2128</v>
      </c>
      <c r="P8" s="452" t="s">
        <v>2129</v>
      </c>
      <c r="Q8" s="450" t="s">
        <v>2127</v>
      </c>
      <c r="R8" s="451" t="s">
        <v>2128</v>
      </c>
      <c r="S8" s="452" t="s">
        <v>2129</v>
      </c>
      <c r="T8" s="450" t="s">
        <v>2127</v>
      </c>
      <c r="U8" s="451" t="s">
        <v>2128</v>
      </c>
      <c r="V8" s="452" t="s">
        <v>2129</v>
      </c>
      <c r="W8" s="450" t="s">
        <v>2127</v>
      </c>
      <c r="X8" s="451" t="s">
        <v>2128</v>
      </c>
      <c r="Y8" s="452" t="s">
        <v>2129</v>
      </c>
      <c r="Z8" s="450" t="s">
        <v>2127</v>
      </c>
      <c r="AA8" s="451" t="s">
        <v>2128</v>
      </c>
      <c r="AB8" s="452" t="s">
        <v>2129</v>
      </c>
      <c r="AC8" s="450" t="s">
        <v>2127</v>
      </c>
      <c r="AD8" s="451" t="s">
        <v>2128</v>
      </c>
      <c r="AE8" s="452" t="s">
        <v>2129</v>
      </c>
      <c r="AF8" s="450" t="s">
        <v>2127</v>
      </c>
      <c r="AG8" s="451" t="s">
        <v>2128</v>
      </c>
      <c r="AH8" s="452" t="s">
        <v>2129</v>
      </c>
      <c r="AI8" s="450" t="s">
        <v>2127</v>
      </c>
      <c r="AJ8" s="451" t="s">
        <v>2128</v>
      </c>
      <c r="AK8" s="452" t="s">
        <v>2129</v>
      </c>
      <c r="AL8" s="450" t="s">
        <v>2127</v>
      </c>
      <c r="AM8" s="451" t="s">
        <v>2128</v>
      </c>
      <c r="AN8" s="452" t="s">
        <v>2129</v>
      </c>
      <c r="AO8" s="450" t="s">
        <v>2127</v>
      </c>
      <c r="AP8" s="451" t="s">
        <v>2128</v>
      </c>
      <c r="AQ8" s="452" t="s">
        <v>2129</v>
      </c>
      <c r="BV8" s="445"/>
      <c r="BW8" s="445"/>
      <c r="BX8" s="445"/>
      <c r="BY8" s="445"/>
      <c r="BZ8" s="445"/>
      <c r="CA8" s="445"/>
      <c r="CB8" s="445"/>
      <c r="CC8" s="445"/>
    </row>
    <row r="9" spans="1:83" s="433" customFormat="1" ht="16.5" customHeight="1" x14ac:dyDescent="0.25">
      <c r="A9" s="1411" t="s">
        <v>12</v>
      </c>
      <c r="B9" s="1390"/>
      <c r="C9" s="1358">
        <v>16</v>
      </c>
      <c r="D9" s="1414" t="s">
        <v>13</v>
      </c>
      <c r="E9" s="1415"/>
      <c r="F9" s="1394" t="s">
        <v>44</v>
      </c>
      <c r="G9" s="1395"/>
      <c r="H9" s="453">
        <f>SQRT(I9^2+J9^2)*1000/(1.73*H13)</f>
        <v>26.378219771569171</v>
      </c>
      <c r="I9" s="454">
        <v>5.2880000000000003</v>
      </c>
      <c r="J9" s="455">
        <v>1.423</v>
      </c>
      <c r="K9" s="453">
        <f>SQRT(L9^2+M9^2)*1000/(1.73*K13)</f>
        <v>26.21618517006117</v>
      </c>
      <c r="L9" s="454">
        <v>5.258</v>
      </c>
      <c r="M9" s="455">
        <v>1.405</v>
      </c>
      <c r="N9" s="453">
        <f>SQRT(O9^2+P9^2)*1000/(1.73*N13)</f>
        <v>26.728439834610015</v>
      </c>
      <c r="O9" s="454">
        <v>5.3680000000000003</v>
      </c>
      <c r="P9" s="455">
        <v>1.405</v>
      </c>
      <c r="Q9" s="453">
        <f>SQRT(R9^2+S9^2)*1000/(1.73*Q13)</f>
        <v>27.081253009680097</v>
      </c>
      <c r="R9" s="454">
        <v>5.4390000000000001</v>
      </c>
      <c r="S9" s="455">
        <v>1.423</v>
      </c>
      <c r="T9" s="453">
        <f>SQRT(U9^2+V9^2)*1000/(1.73*T13)</f>
        <v>29.097286412675018</v>
      </c>
      <c r="U9" s="454">
        <v>5.8620000000000001</v>
      </c>
      <c r="V9" s="455">
        <v>1.458</v>
      </c>
      <c r="W9" s="453">
        <f>SQRT(X9^2+Y9^2)*1000/(1.73*W13)</f>
        <v>31.16168491603878</v>
      </c>
      <c r="X9" s="454">
        <v>6.2949999999999999</v>
      </c>
      <c r="Y9" s="455">
        <v>1.4910000000000001</v>
      </c>
      <c r="Z9" s="453">
        <f>SQRT(AA9^2+AB9^2)*1000/(1.73*Z13)</f>
        <v>30.530906703838792</v>
      </c>
      <c r="AA9" s="454">
        <v>6.1440000000000001</v>
      </c>
      <c r="AB9" s="455">
        <v>1.5569999999999999</v>
      </c>
      <c r="AC9" s="453">
        <f>SQRT(AD9^2+AE9^2)*1000/(1.73*AC13)</f>
        <v>32.956433987119752</v>
      </c>
      <c r="AD9" s="454">
        <v>6.63</v>
      </c>
      <c r="AE9" s="455">
        <v>1.6890000000000001</v>
      </c>
      <c r="AF9" s="453">
        <f>SQRT(AG9^2+AH9^2)*1000/(1.73*AF13)</f>
        <v>30.053742747294113</v>
      </c>
      <c r="AG9" s="454">
        <v>6.0940000000000003</v>
      </c>
      <c r="AH9" s="455">
        <v>1.3380000000000001</v>
      </c>
      <c r="AI9" s="453">
        <f>SQRT(AJ9^2+AK9^2)*1000/(1.73*AI13)</f>
        <v>29.085025728735701</v>
      </c>
      <c r="AJ9" s="454">
        <v>5.8920000000000003</v>
      </c>
      <c r="AK9" s="455">
        <v>1.32</v>
      </c>
      <c r="AL9" s="453">
        <f>SQRT(AM9^2+AN9^2)*1000/(1.73*AL13)</f>
        <v>28.363878576879053</v>
      </c>
      <c r="AM9" s="454">
        <v>5.7409999999999997</v>
      </c>
      <c r="AN9" s="455">
        <v>1.3089999999999999</v>
      </c>
      <c r="AO9" s="453">
        <f>SQRT(AP9^2+AQ9^2)*1000/(1.73*AO13)</f>
        <v>28.036122578515847</v>
      </c>
      <c r="AP9" s="454">
        <v>5.6909999999999998</v>
      </c>
      <c r="AQ9" s="455">
        <v>1.22</v>
      </c>
      <c r="AR9" s="456"/>
      <c r="AS9" s="456"/>
      <c r="CB9" s="456"/>
      <c r="CC9" s="456"/>
      <c r="CD9" s="456"/>
      <c r="CE9" s="456"/>
    </row>
    <row r="10" spans="1:83" s="433" customFormat="1" ht="16.5" customHeight="1" x14ac:dyDescent="0.25">
      <c r="A10" s="1470"/>
      <c r="B10" s="1413"/>
      <c r="C10" s="1359"/>
      <c r="D10" s="1471"/>
      <c r="E10" s="1472"/>
      <c r="F10" s="1473" t="s">
        <v>45</v>
      </c>
      <c r="G10" s="1481"/>
      <c r="H10" s="588">
        <f>SQRT(I10^2+J10^2)*1000/(1.73*H14)</f>
        <v>10.59243577551101</v>
      </c>
      <c r="I10" s="589">
        <v>0.64</v>
      </c>
      <c r="J10" s="590">
        <v>0.16</v>
      </c>
      <c r="K10" s="588">
        <f>SQRT(L10^2+M10^2)*1000/(1.73*K14)</f>
        <v>10.242246906754698</v>
      </c>
      <c r="L10" s="589">
        <v>0.62</v>
      </c>
      <c r="M10" s="590">
        <v>0.15</v>
      </c>
      <c r="N10" s="588">
        <f>SQRT(O10^2+P10^2)*1000/(1.73*N14)</f>
        <v>10.554642536637633</v>
      </c>
      <c r="O10" s="589">
        <v>0.64</v>
      </c>
      <c r="P10" s="590">
        <v>0.15</v>
      </c>
      <c r="Q10" s="588">
        <f>SQRT(R10^2+S10^2)*1000/(1.73*Q14)</f>
        <v>11.060366152404962</v>
      </c>
      <c r="R10" s="589">
        <v>0.67</v>
      </c>
      <c r="S10" s="590">
        <v>0.16</v>
      </c>
      <c r="T10" s="588">
        <f>SQRT(U10^2+V10^2)*1000/(1.73*T14)</f>
        <v>11.529430360318715</v>
      </c>
      <c r="U10" s="589">
        <v>0.7</v>
      </c>
      <c r="V10" s="590">
        <v>0.16</v>
      </c>
      <c r="W10" s="588">
        <f>SQRT(X10^2+Y10^2)*1000/(1.73*W14)</f>
        <v>12.313371592830983</v>
      </c>
      <c r="X10" s="589">
        <v>0.75</v>
      </c>
      <c r="Y10" s="590">
        <v>0.16</v>
      </c>
      <c r="Z10" s="588">
        <f>SQRT(AA10^2+AB10^2)*1000/(1.73*Z14)</f>
        <v>12.15638614691567</v>
      </c>
      <c r="AA10" s="589">
        <v>0.74</v>
      </c>
      <c r="AB10" s="590">
        <v>0.16</v>
      </c>
      <c r="AC10" s="588">
        <f>SQRT(AD10^2+AE10^2)*1000/(1.73*AC14)</f>
        <v>11.403520169919526</v>
      </c>
      <c r="AD10" s="589">
        <v>0.7</v>
      </c>
      <c r="AE10" s="590">
        <v>0.12</v>
      </c>
      <c r="AF10" s="588">
        <f>SQRT(AG10^2+AH10^2)*1000/(1.73*AF14)</f>
        <v>11.403520169919526</v>
      </c>
      <c r="AG10" s="589">
        <v>0.7</v>
      </c>
      <c r="AH10" s="590">
        <v>0.12</v>
      </c>
      <c r="AI10" s="588">
        <f>SQRT(AJ10^2+AK10^2)*1000/(1.73*AI14)</f>
        <v>10.743479099756007</v>
      </c>
      <c r="AJ10" s="589">
        <v>0.66</v>
      </c>
      <c r="AK10" s="590">
        <v>0.11</v>
      </c>
      <c r="AL10" s="588">
        <f>SQRT(AM10^2+AN10^2)*1000/(1.73*AL14)</f>
        <v>9.9005073920796356</v>
      </c>
      <c r="AM10" s="589">
        <v>0.61</v>
      </c>
      <c r="AN10" s="590">
        <v>0.09</v>
      </c>
      <c r="AO10" s="588">
        <f>SQRT(AP10^2+AQ10^2)*1000/(1.73*AO14)</f>
        <v>9.9005073920796356</v>
      </c>
      <c r="AP10" s="589">
        <v>0.61</v>
      </c>
      <c r="AQ10" s="590">
        <v>0.09</v>
      </c>
      <c r="AR10" s="456"/>
      <c r="AS10" s="456"/>
      <c r="AV10" s="456"/>
      <c r="CB10" s="456"/>
      <c r="CC10" s="456"/>
      <c r="CD10" s="456"/>
      <c r="CE10" s="456"/>
    </row>
    <row r="11" spans="1:83" s="433" customFormat="1" ht="16.5" customHeight="1" thickBot="1" x14ac:dyDescent="0.3">
      <c r="A11" s="1412"/>
      <c r="B11" s="1413"/>
      <c r="C11" s="1359"/>
      <c r="D11" s="1416"/>
      <c r="E11" s="1417"/>
      <c r="F11" s="1396" t="s">
        <v>46</v>
      </c>
      <c r="G11" s="1397"/>
      <c r="H11" s="457">
        <f>SQRT(I11^2+J11^2)*1000/(1.73*H15)</f>
        <v>260.18309028483282</v>
      </c>
      <c r="I11" s="591">
        <v>4.6099999999999994</v>
      </c>
      <c r="J11" s="592">
        <v>1.0416864420967571</v>
      </c>
      <c r="K11" s="457">
        <f>SQRT(L11^2+M11^2)*1000/(1.73*K15)</f>
        <v>259.58549307190611</v>
      </c>
      <c r="L11" s="591">
        <v>4.5999999999999996</v>
      </c>
      <c r="M11" s="592">
        <v>1.0366864420967572</v>
      </c>
      <c r="N11" s="457">
        <f>SQRT(O11^2+P11^2)*1000/(1.73*N15)</f>
        <v>264.42109643175695</v>
      </c>
      <c r="O11" s="591">
        <v>4.6899999999999995</v>
      </c>
      <c r="P11" s="592">
        <v>1.036686442096757</v>
      </c>
      <c r="Q11" s="457">
        <f>SQRT(R11^2+S11^2)*1000/(1.73*Q15)</f>
        <v>266.63072114948739</v>
      </c>
      <c r="R11" s="591">
        <v>4.7300000000000004</v>
      </c>
      <c r="S11" s="592">
        <v>1.0416864420967571</v>
      </c>
      <c r="T11" s="457">
        <f>SQRT(U11^2+V11^2)*1000/(1.73*T15)</f>
        <v>287.96900998441612</v>
      </c>
      <c r="U11" s="591">
        <v>5.1199999999999992</v>
      </c>
      <c r="V11" s="592">
        <v>1.0716864420967571</v>
      </c>
      <c r="W11" s="457">
        <f>SQRT(X11^2+Y11^2)*1000/(1.73*W15)</f>
        <v>308.77291382413512</v>
      </c>
      <c r="X11" s="591">
        <v>5.5</v>
      </c>
      <c r="Y11" s="592">
        <v>1.0996864420967571</v>
      </c>
      <c r="Z11" s="457">
        <f>SQRT(AA11^2+AB11^2)*1000/(1.73*Z15)</f>
        <v>301.84225696084036</v>
      </c>
      <c r="AA11" s="591">
        <v>5.3599999999999994</v>
      </c>
      <c r="AB11" s="592">
        <v>1.1546864420967571</v>
      </c>
      <c r="AC11" s="457">
        <f>SQRT(AD11^2+AE11^2)*1000/(1.73*AC15)</f>
        <v>331.71569668078945</v>
      </c>
      <c r="AD11" s="591">
        <v>5.882200000000001</v>
      </c>
      <c r="AE11" s="592">
        <v>1.3068155504849763</v>
      </c>
      <c r="AF11" s="457">
        <f>SQRT(AG11^2+AH11^2)*1000/(1.73*AF15)</f>
        <v>299.72164353963848</v>
      </c>
      <c r="AG11" s="591">
        <v>5.35</v>
      </c>
      <c r="AH11" s="592">
        <v>1.0096864420967571</v>
      </c>
      <c r="AI11" s="457">
        <f>SQRT(AJ11^2+AK11^2)*1000/(1.73*AI15)</f>
        <v>291.02007481315098</v>
      </c>
      <c r="AJ11" s="591">
        <v>5.1899999999999995</v>
      </c>
      <c r="AK11" s="592">
        <v>1.0048432210483784</v>
      </c>
      <c r="AL11" s="457">
        <f>SQRT(AM11^2+AN11^2)*1000/(1.73*AL15)</f>
        <v>285.73039301156462</v>
      </c>
      <c r="AM11" s="591">
        <v>5.09</v>
      </c>
      <c r="AN11" s="592">
        <v>1.0153999999999999</v>
      </c>
      <c r="AO11" s="457">
        <f>SQRT(AP11^2+AQ11^2)*1000/(1.73*AO15)</f>
        <v>282.24109003076182</v>
      </c>
      <c r="AP11" s="591">
        <v>5.04</v>
      </c>
      <c r="AQ11" s="592">
        <v>0.94</v>
      </c>
      <c r="AR11" s="456"/>
      <c r="AS11" s="456"/>
      <c r="CB11" s="456"/>
      <c r="CC11" s="456"/>
      <c r="CD11" s="456"/>
      <c r="CE11" s="456"/>
    </row>
    <row r="12" spans="1:83" s="433" customFormat="1" ht="16.5" customHeight="1" thickBot="1" x14ac:dyDescent="0.3">
      <c r="A12" s="1412"/>
      <c r="B12" s="1413"/>
      <c r="C12" s="1359"/>
      <c r="D12" s="1402" t="s">
        <v>2130</v>
      </c>
      <c r="E12" s="1403"/>
      <c r="F12" s="1479"/>
      <c r="G12" s="1480"/>
      <c r="H12" s="1467">
        <v>6</v>
      </c>
      <c r="I12" s="1468"/>
      <c r="J12" s="1469"/>
      <c r="K12" s="1467">
        <v>6</v>
      </c>
      <c r="L12" s="1468"/>
      <c r="M12" s="1469"/>
      <c r="N12" s="1467">
        <v>6</v>
      </c>
      <c r="O12" s="1468"/>
      <c r="P12" s="1469"/>
      <c r="Q12" s="1467">
        <v>6</v>
      </c>
      <c r="R12" s="1468"/>
      <c r="S12" s="1469"/>
      <c r="T12" s="1467">
        <v>6</v>
      </c>
      <c r="U12" s="1468"/>
      <c r="V12" s="1469"/>
      <c r="W12" s="1467">
        <v>6</v>
      </c>
      <c r="X12" s="1468"/>
      <c r="Y12" s="1469"/>
      <c r="Z12" s="1467">
        <v>6</v>
      </c>
      <c r="AA12" s="1468"/>
      <c r="AB12" s="1469"/>
      <c r="AC12" s="1467">
        <v>6</v>
      </c>
      <c r="AD12" s="1468"/>
      <c r="AE12" s="1469"/>
      <c r="AF12" s="1467">
        <v>6</v>
      </c>
      <c r="AG12" s="1468"/>
      <c r="AH12" s="1469"/>
      <c r="AI12" s="1467">
        <v>6</v>
      </c>
      <c r="AJ12" s="1468"/>
      <c r="AK12" s="1469"/>
      <c r="AL12" s="1467">
        <v>6</v>
      </c>
      <c r="AM12" s="1468"/>
      <c r="AN12" s="1469"/>
      <c r="AO12" s="1467">
        <v>6</v>
      </c>
      <c r="AP12" s="1468"/>
      <c r="AQ12" s="1469"/>
    </row>
    <row r="13" spans="1:83" s="433" customFormat="1" ht="16.5" customHeight="1" x14ac:dyDescent="0.25">
      <c r="A13" s="1412"/>
      <c r="B13" s="1413"/>
      <c r="C13" s="1359"/>
      <c r="D13" s="1388" t="s">
        <v>2131</v>
      </c>
      <c r="E13" s="1389"/>
      <c r="F13" s="1376" t="s">
        <v>44</v>
      </c>
      <c r="G13" s="1459"/>
      <c r="H13" s="1385">
        <v>120</v>
      </c>
      <c r="I13" s="1386"/>
      <c r="J13" s="1387"/>
      <c r="K13" s="1385">
        <v>120</v>
      </c>
      <c r="L13" s="1386"/>
      <c r="M13" s="1387"/>
      <c r="N13" s="1385">
        <v>120</v>
      </c>
      <c r="O13" s="1386"/>
      <c r="P13" s="1387"/>
      <c r="Q13" s="1385">
        <v>120</v>
      </c>
      <c r="R13" s="1386"/>
      <c r="S13" s="1387"/>
      <c r="T13" s="1385">
        <v>120</v>
      </c>
      <c r="U13" s="1386"/>
      <c r="V13" s="1387"/>
      <c r="W13" s="1385">
        <v>120</v>
      </c>
      <c r="X13" s="1386"/>
      <c r="Y13" s="1387"/>
      <c r="Z13" s="1385">
        <v>120</v>
      </c>
      <c r="AA13" s="1386"/>
      <c r="AB13" s="1387"/>
      <c r="AC13" s="1385">
        <v>120</v>
      </c>
      <c r="AD13" s="1386"/>
      <c r="AE13" s="1387"/>
      <c r="AF13" s="1385">
        <v>120</v>
      </c>
      <c r="AG13" s="1386"/>
      <c r="AH13" s="1387"/>
      <c r="AI13" s="1385">
        <v>120</v>
      </c>
      <c r="AJ13" s="1386"/>
      <c r="AK13" s="1387"/>
      <c r="AL13" s="1385">
        <v>120</v>
      </c>
      <c r="AM13" s="1386"/>
      <c r="AN13" s="1387"/>
      <c r="AO13" s="1385">
        <v>120</v>
      </c>
      <c r="AP13" s="1386"/>
      <c r="AQ13" s="1387"/>
    </row>
    <row r="14" spans="1:83" s="433" customFormat="1" ht="16.5" customHeight="1" x14ac:dyDescent="0.25">
      <c r="A14" s="1412"/>
      <c r="B14" s="1413"/>
      <c r="C14" s="1359"/>
      <c r="D14" s="1412"/>
      <c r="E14" s="1456"/>
      <c r="F14" s="1460" t="s">
        <v>45</v>
      </c>
      <c r="G14" s="1461"/>
      <c r="H14" s="1464">
        <v>36</v>
      </c>
      <c r="I14" s="1465"/>
      <c r="J14" s="1466"/>
      <c r="K14" s="1464">
        <v>36</v>
      </c>
      <c r="L14" s="1465"/>
      <c r="M14" s="1466"/>
      <c r="N14" s="1464">
        <v>36</v>
      </c>
      <c r="O14" s="1465"/>
      <c r="P14" s="1466"/>
      <c r="Q14" s="1464">
        <v>36</v>
      </c>
      <c r="R14" s="1465"/>
      <c r="S14" s="1466"/>
      <c r="T14" s="1464">
        <v>36</v>
      </c>
      <c r="U14" s="1465"/>
      <c r="V14" s="1466"/>
      <c r="W14" s="1464">
        <v>36</v>
      </c>
      <c r="X14" s="1465"/>
      <c r="Y14" s="1466"/>
      <c r="Z14" s="1464">
        <v>36</v>
      </c>
      <c r="AA14" s="1465"/>
      <c r="AB14" s="1466"/>
      <c r="AC14" s="1464">
        <v>36</v>
      </c>
      <c r="AD14" s="1465"/>
      <c r="AE14" s="1466"/>
      <c r="AF14" s="1464">
        <v>36</v>
      </c>
      <c r="AG14" s="1465"/>
      <c r="AH14" s="1466"/>
      <c r="AI14" s="1464">
        <v>36</v>
      </c>
      <c r="AJ14" s="1465"/>
      <c r="AK14" s="1466"/>
      <c r="AL14" s="1464">
        <v>36</v>
      </c>
      <c r="AM14" s="1465"/>
      <c r="AN14" s="1466"/>
      <c r="AO14" s="1464">
        <v>36</v>
      </c>
      <c r="AP14" s="1465"/>
      <c r="AQ14" s="1466"/>
    </row>
    <row r="15" spans="1:83" s="433" customFormat="1" ht="16.5" customHeight="1" thickBot="1" x14ac:dyDescent="0.3">
      <c r="A15" s="1412"/>
      <c r="B15" s="1413"/>
      <c r="C15" s="1359"/>
      <c r="D15" s="1391"/>
      <c r="E15" s="1392"/>
      <c r="F15" s="1462" t="s">
        <v>46</v>
      </c>
      <c r="G15" s="1463"/>
      <c r="H15" s="1399">
        <v>10.5</v>
      </c>
      <c r="I15" s="1400"/>
      <c r="J15" s="1401"/>
      <c r="K15" s="1399">
        <v>10.5</v>
      </c>
      <c r="L15" s="1400"/>
      <c r="M15" s="1401"/>
      <c r="N15" s="1399">
        <v>10.5</v>
      </c>
      <c r="O15" s="1400"/>
      <c r="P15" s="1401"/>
      <c r="Q15" s="1399">
        <v>10.5</v>
      </c>
      <c r="R15" s="1400"/>
      <c r="S15" s="1401"/>
      <c r="T15" s="1399">
        <v>10.5</v>
      </c>
      <c r="U15" s="1400"/>
      <c r="V15" s="1401"/>
      <c r="W15" s="1399">
        <v>10.5</v>
      </c>
      <c r="X15" s="1400"/>
      <c r="Y15" s="1401"/>
      <c r="Z15" s="1399">
        <v>10.5</v>
      </c>
      <c r="AA15" s="1400"/>
      <c r="AB15" s="1401"/>
      <c r="AC15" s="1399">
        <v>10.5</v>
      </c>
      <c r="AD15" s="1400"/>
      <c r="AE15" s="1401"/>
      <c r="AF15" s="1399">
        <v>10.5</v>
      </c>
      <c r="AG15" s="1400"/>
      <c r="AH15" s="1401"/>
      <c r="AI15" s="1399">
        <v>10.5</v>
      </c>
      <c r="AJ15" s="1400"/>
      <c r="AK15" s="1401"/>
      <c r="AL15" s="1399">
        <v>10.5</v>
      </c>
      <c r="AM15" s="1400"/>
      <c r="AN15" s="1401"/>
      <c r="AO15" s="1399">
        <v>10.5</v>
      </c>
      <c r="AP15" s="1400"/>
      <c r="AQ15" s="1401"/>
    </row>
    <row r="16" spans="1:83" s="433" customFormat="1" ht="16.5" customHeight="1" thickBot="1" x14ac:dyDescent="0.3">
      <c r="A16" s="1391"/>
      <c r="B16" s="1393"/>
      <c r="C16" s="1360"/>
      <c r="D16" s="1402" t="s">
        <v>31</v>
      </c>
      <c r="E16" s="1403"/>
      <c r="F16" s="1383"/>
      <c r="G16" s="1475"/>
      <c r="H16" s="1405" t="s">
        <v>124</v>
      </c>
      <c r="I16" s="1406"/>
      <c r="J16" s="1407"/>
      <c r="K16" s="1405" t="s">
        <v>124</v>
      </c>
      <c r="L16" s="1406"/>
      <c r="M16" s="1407"/>
      <c r="N16" s="1405" t="s">
        <v>124</v>
      </c>
      <c r="O16" s="1406"/>
      <c r="P16" s="1407"/>
      <c r="Q16" s="1405" t="s">
        <v>124</v>
      </c>
      <c r="R16" s="1406"/>
      <c r="S16" s="1407"/>
      <c r="T16" s="1405" t="s">
        <v>124</v>
      </c>
      <c r="U16" s="1406"/>
      <c r="V16" s="1407"/>
      <c r="W16" s="1405" t="s">
        <v>124</v>
      </c>
      <c r="X16" s="1406"/>
      <c r="Y16" s="1407"/>
      <c r="Z16" s="1405" t="s">
        <v>124</v>
      </c>
      <c r="AA16" s="1406"/>
      <c r="AB16" s="1407"/>
      <c r="AC16" s="1405" t="s">
        <v>124</v>
      </c>
      <c r="AD16" s="1406"/>
      <c r="AE16" s="1407"/>
      <c r="AF16" s="1405" t="s">
        <v>124</v>
      </c>
      <c r="AG16" s="1406"/>
      <c r="AH16" s="1407"/>
      <c r="AI16" s="1405" t="s">
        <v>124</v>
      </c>
      <c r="AJ16" s="1406"/>
      <c r="AK16" s="1407"/>
      <c r="AL16" s="1405" t="s">
        <v>124</v>
      </c>
      <c r="AM16" s="1406"/>
      <c r="AN16" s="1407"/>
      <c r="AO16" s="1405" t="s">
        <v>124</v>
      </c>
      <c r="AP16" s="1406"/>
      <c r="AQ16" s="1407"/>
    </row>
    <row r="17" spans="1:81" s="433" customFormat="1" ht="16.5" customHeight="1" x14ac:dyDescent="0.25">
      <c r="A17" s="1411" t="s">
        <v>16</v>
      </c>
      <c r="B17" s="1390"/>
      <c r="C17" s="1358">
        <v>16</v>
      </c>
      <c r="D17" s="1414" t="s">
        <v>13</v>
      </c>
      <c r="E17" s="1415"/>
      <c r="F17" s="1394" t="s">
        <v>44</v>
      </c>
      <c r="G17" s="1418"/>
      <c r="H17" s="453">
        <f>SQRT(I17^2+J17^2)*1000/(1.73*H21)</f>
        <v>22.822400104679467</v>
      </c>
      <c r="I17" s="454">
        <v>4.5529999999999999</v>
      </c>
      <c r="J17" s="455">
        <v>1.1599999999999999</v>
      </c>
      <c r="K17" s="453">
        <f>SQRT(L17^2+M17^2)*1000/(1.73*K21)</f>
        <v>22.709182281108216</v>
      </c>
      <c r="L17" s="454">
        <v>4.532</v>
      </c>
      <c r="M17" s="455">
        <v>1.1479999999999999</v>
      </c>
      <c r="N17" s="453">
        <f>SQRT(O17^2+P17^2)*1000/(1.73*N21)</f>
        <v>22.929482484310888</v>
      </c>
      <c r="O17" s="454">
        <v>4.5830000000000002</v>
      </c>
      <c r="P17" s="455">
        <v>1.131</v>
      </c>
      <c r="Q17" s="453">
        <f>SQRT(R17^2+S17^2)*1000/(1.73*Q21)</f>
        <v>23.547765888301818</v>
      </c>
      <c r="R17" s="454">
        <v>4.7140000000000004</v>
      </c>
      <c r="S17" s="455">
        <v>1.131</v>
      </c>
      <c r="T17" s="453">
        <f>SQRT(U17^2+V17^2)*1000/(1.73*T21)</f>
        <v>25.09607053553718</v>
      </c>
      <c r="U17" s="454">
        <v>5.0359999999999996</v>
      </c>
      <c r="V17" s="455">
        <v>1.1539999999999999</v>
      </c>
      <c r="W17" s="453">
        <f>SQRT(X17^2+Y17^2)*1000/(1.73*W21)</f>
        <v>27.033996393207921</v>
      </c>
      <c r="X17" s="454">
        <v>5.4290000000000003</v>
      </c>
      <c r="Y17" s="455">
        <v>1.2250000000000001</v>
      </c>
      <c r="Z17" s="453">
        <f>SQRT(AA17^2+AB17^2)*1000/(1.73*Z21)</f>
        <v>26.6883289480351</v>
      </c>
      <c r="AA17" s="454">
        <v>5.3780000000000001</v>
      </c>
      <c r="AB17" s="455">
        <v>1.3320000000000001</v>
      </c>
      <c r="AC17" s="453">
        <f>SQRT(AD17^2+AE17^2)*1000/(1.73*AC21)</f>
        <v>29.422734637964179</v>
      </c>
      <c r="AD17" s="454">
        <v>5.7939999999999996</v>
      </c>
      <c r="AE17" s="455">
        <v>1.583</v>
      </c>
      <c r="AF17" s="453">
        <f>SQRT(AG17^2+AH17^2)*1000/(1.73*AF21)</f>
        <v>26.012674155496178</v>
      </c>
      <c r="AG17" s="454">
        <v>5.1669999999999998</v>
      </c>
      <c r="AH17" s="455">
        <v>1.2250000000000001</v>
      </c>
      <c r="AI17" s="453">
        <f>SQRT(AJ17^2+AK17^2)*1000/(1.73*AI21)</f>
        <v>25.600605163713674</v>
      </c>
      <c r="AJ17" s="454">
        <v>5.0860000000000003</v>
      </c>
      <c r="AK17" s="455">
        <v>1.202</v>
      </c>
      <c r="AL17" s="453">
        <f>SQRT(AM17^2+AN17^2)*1000/(1.73*AL21)</f>
        <v>25.417921564373291</v>
      </c>
      <c r="AM17" s="454">
        <v>5.0359999999999996</v>
      </c>
      <c r="AN17" s="455">
        <v>1.25</v>
      </c>
      <c r="AO17" s="453">
        <f>SQRT(AP17^2+AQ17^2)*1000/(1.73*AO21)</f>
        <v>24.527300850030588</v>
      </c>
      <c r="AP17" s="454">
        <v>4.8650000000000002</v>
      </c>
      <c r="AQ17" s="455">
        <v>1.1839999999999999</v>
      </c>
      <c r="AR17" s="456"/>
      <c r="CB17" s="456"/>
      <c r="CC17" s="456"/>
    </row>
    <row r="18" spans="1:81" s="433" customFormat="1" ht="16.5" customHeight="1" x14ac:dyDescent="0.25">
      <c r="A18" s="1470"/>
      <c r="B18" s="1413"/>
      <c r="C18" s="1359"/>
      <c r="D18" s="1471"/>
      <c r="E18" s="1472"/>
      <c r="F18" s="1473" t="s">
        <v>45</v>
      </c>
      <c r="G18" s="1474"/>
      <c r="H18" s="593">
        <f>SQRT(I18^2+J18^2)*1000/(1.73*H22)</f>
        <v>17.225434723365652</v>
      </c>
      <c r="I18" s="594">
        <v>1.05</v>
      </c>
      <c r="J18" s="595">
        <v>0.22</v>
      </c>
      <c r="K18" s="593">
        <f>SQRT(L18^2+M18^2)*1000/(1.73*K22)</f>
        <v>17.225434723365652</v>
      </c>
      <c r="L18" s="594">
        <v>1.05</v>
      </c>
      <c r="M18" s="595">
        <v>0.22</v>
      </c>
      <c r="N18" s="593">
        <f>SQRT(O18^2+P18^2)*1000/(1.73*N22)</f>
        <v>17.382618629061476</v>
      </c>
      <c r="O18" s="594">
        <v>1.06</v>
      </c>
      <c r="P18" s="595">
        <v>0.22</v>
      </c>
      <c r="Q18" s="593">
        <f>SQRT(R18^2+S18^2)*1000/(1.73*Q22)</f>
        <v>17.854531400952791</v>
      </c>
      <c r="R18" s="594">
        <v>1.0900000000000001</v>
      </c>
      <c r="S18" s="595">
        <v>0.22</v>
      </c>
      <c r="T18" s="593">
        <f>SQRT(U18^2+V18^2)*1000/(1.73*T22)</f>
        <v>18.988149021393809</v>
      </c>
      <c r="U18" s="594">
        <v>1.1599999999999999</v>
      </c>
      <c r="V18" s="595">
        <v>0.23</v>
      </c>
      <c r="W18" s="593">
        <f>SQRT(X18^2+Y18^2)*1000/(1.73*W22)</f>
        <v>20.121963944321219</v>
      </c>
      <c r="X18" s="594">
        <v>1.23</v>
      </c>
      <c r="Y18" s="595">
        <v>0.24</v>
      </c>
      <c r="Z18" s="593">
        <f>SQRT(AA18^2+AB18^2)*1000/(1.73*Z22)</f>
        <v>19.303248315522946</v>
      </c>
      <c r="AA18" s="594">
        <v>1.18</v>
      </c>
      <c r="AB18" s="595">
        <v>0.23</v>
      </c>
      <c r="AC18" s="593">
        <f>SQRT(AD18^2+AE18^2)*1000/(1.73*AC22)</f>
        <v>18.425861182661791</v>
      </c>
      <c r="AD18" s="594">
        <v>1.1299999999999999</v>
      </c>
      <c r="AE18" s="595">
        <v>0.2</v>
      </c>
      <c r="AF18" s="593">
        <f>SQRT(AG18^2+AH18^2)*1000/(1.73*AF22)</f>
        <v>18.138892469906295</v>
      </c>
      <c r="AG18" s="594">
        <v>1.1100000000000001</v>
      </c>
      <c r="AH18" s="595">
        <v>0.21</v>
      </c>
      <c r="AI18" s="593">
        <f>SQRT(AJ18^2+AK18^2)*1000/(1.73*AI22)</f>
        <v>17.320213950111498</v>
      </c>
      <c r="AJ18" s="594">
        <v>1.06</v>
      </c>
      <c r="AK18" s="595">
        <v>0.2</v>
      </c>
      <c r="AL18" s="593">
        <f>SQRT(AM18^2+AN18^2)*1000/(1.73*AL22)</f>
        <v>17.162458515118779</v>
      </c>
      <c r="AM18" s="594">
        <v>1.05</v>
      </c>
      <c r="AN18" s="595">
        <v>0.2</v>
      </c>
      <c r="AO18" s="593">
        <f>SQRT(AP18^2+AQ18^2)*1000/(1.73*AO22)</f>
        <v>16.501540045826488</v>
      </c>
      <c r="AP18" s="594">
        <v>1.01</v>
      </c>
      <c r="AQ18" s="595">
        <v>0.19</v>
      </c>
      <c r="AR18" s="456"/>
      <c r="CB18" s="456"/>
      <c r="CC18" s="456"/>
    </row>
    <row r="19" spans="1:81" s="433" customFormat="1" ht="16.5" customHeight="1" thickBot="1" x14ac:dyDescent="0.3">
      <c r="A19" s="1412"/>
      <c r="B19" s="1413"/>
      <c r="C19" s="1359"/>
      <c r="D19" s="1416"/>
      <c r="E19" s="1417"/>
      <c r="F19" s="1396" t="s">
        <v>46</v>
      </c>
      <c r="G19" s="1419"/>
      <c r="H19" s="457">
        <f>SQRT(I19^2+J19^2)*1000/(1.73*H23)</f>
        <v>195.55294615808398</v>
      </c>
      <c r="I19" s="591">
        <v>3.4699999999999998</v>
      </c>
      <c r="J19" s="596">
        <v>0.75984322104837854</v>
      </c>
      <c r="K19" s="457">
        <f>SQRT(L19^2+M19^2)*1000/(1.73*K23)</f>
        <v>194.35805632170948</v>
      </c>
      <c r="L19" s="591">
        <v>3.45</v>
      </c>
      <c r="M19" s="596">
        <v>0.74968644209675717</v>
      </c>
      <c r="N19" s="457">
        <f>SQRT(O19^2+P19^2)*1000/(1.73*N23)</f>
        <v>196.34044352255989</v>
      </c>
      <c r="O19" s="591">
        <v>3.4899999999999993</v>
      </c>
      <c r="P19" s="596">
        <v>0.73484322104837863</v>
      </c>
      <c r="Q19" s="457">
        <f>SQRT(R19^2+S19^2)*1000/(1.73*Q23)</f>
        <v>201.73060603661457</v>
      </c>
      <c r="R19" s="591">
        <v>3.59</v>
      </c>
      <c r="S19" s="596">
        <v>0.73484322104837863</v>
      </c>
      <c r="T19" s="457">
        <f>SQRT(U19^2+V19^2)*1000/(1.73*T23)</f>
        <v>215.33561671041915</v>
      </c>
      <c r="U19" s="591">
        <v>3.84</v>
      </c>
      <c r="V19" s="596">
        <v>0.74484322104837863</v>
      </c>
      <c r="W19" s="457">
        <f>SQRT(X19^2+Y19^2)*1000/(1.73*W23)</f>
        <v>233.15463350074435</v>
      </c>
      <c r="X19" s="591">
        <v>4.16</v>
      </c>
      <c r="Y19" s="596">
        <v>0.79484322104837868</v>
      </c>
      <c r="Z19" s="457">
        <f>SQRT(AA19^2+AB19^2)*1000/(1.73*Z23)</f>
        <v>234.25020848657329</v>
      </c>
      <c r="AA19" s="591">
        <v>4.16</v>
      </c>
      <c r="AB19" s="596">
        <v>0.89484322104837855</v>
      </c>
      <c r="AC19" s="457">
        <f>SQRT(AD19^2+AE19^2)*1000/(1.73*AC23)</f>
        <v>262.03939629533181</v>
      </c>
      <c r="AD19" s="591">
        <v>4.6221999999999994</v>
      </c>
      <c r="AE19" s="596">
        <v>1.1368155504849764</v>
      </c>
      <c r="AF19" s="457">
        <f>SQRT(AG19^2+AH19^2)*1000/(1.73*AF23)</f>
        <v>225.91523685141513</v>
      </c>
      <c r="AG19" s="591">
        <v>4.0199999999999996</v>
      </c>
      <c r="AH19" s="596">
        <v>0.82484322104837848</v>
      </c>
      <c r="AI19" s="457">
        <f>SQRT(AJ19^2+AK19^2)*1000/(1.73*AI23)</f>
        <v>224.18685887283831</v>
      </c>
      <c r="AJ19" s="591">
        <v>3.9899999999999993</v>
      </c>
      <c r="AK19" s="596">
        <v>0.8148432210483787</v>
      </c>
      <c r="AL19" s="457">
        <f>SQRT(AM19^2+AN19^2)*1000/(1.73*AL23)</f>
        <v>222.49161785432472</v>
      </c>
      <c r="AM19" s="591">
        <v>3.95</v>
      </c>
      <c r="AN19" s="596">
        <v>0.85540000000000016</v>
      </c>
      <c r="AO19" s="457">
        <f>SQRT(AP19^2+AQ19^2)*1000/(1.73*AO23)</f>
        <v>214.96657025371633</v>
      </c>
      <c r="AP19" s="591">
        <v>3.82</v>
      </c>
      <c r="AQ19" s="596">
        <v>0.80968644209675711</v>
      </c>
      <c r="AR19" s="456"/>
      <c r="CB19" s="456"/>
      <c r="CC19" s="456"/>
    </row>
    <row r="20" spans="1:81" s="433" customFormat="1" ht="16.5" customHeight="1" thickBot="1" x14ac:dyDescent="0.3">
      <c r="A20" s="1412"/>
      <c r="B20" s="1413"/>
      <c r="C20" s="1359"/>
      <c r="D20" s="1402" t="s">
        <v>2130</v>
      </c>
      <c r="E20" s="1403"/>
      <c r="F20" s="1403"/>
      <c r="G20" s="1404"/>
      <c r="H20" s="1467">
        <v>5</v>
      </c>
      <c r="I20" s="1468"/>
      <c r="J20" s="1469"/>
      <c r="K20" s="1467">
        <v>5</v>
      </c>
      <c r="L20" s="1468"/>
      <c r="M20" s="1469"/>
      <c r="N20" s="1467">
        <v>5</v>
      </c>
      <c r="O20" s="1468"/>
      <c r="P20" s="1469"/>
      <c r="Q20" s="1467">
        <v>5</v>
      </c>
      <c r="R20" s="1468"/>
      <c r="S20" s="1469"/>
      <c r="T20" s="1467">
        <v>5</v>
      </c>
      <c r="U20" s="1468"/>
      <c r="V20" s="1469"/>
      <c r="W20" s="1467">
        <v>5</v>
      </c>
      <c r="X20" s="1468"/>
      <c r="Y20" s="1469"/>
      <c r="Z20" s="1467">
        <v>5</v>
      </c>
      <c r="AA20" s="1468"/>
      <c r="AB20" s="1469"/>
      <c r="AC20" s="1467">
        <v>5</v>
      </c>
      <c r="AD20" s="1468"/>
      <c r="AE20" s="1469"/>
      <c r="AF20" s="1467">
        <v>5</v>
      </c>
      <c r="AG20" s="1468"/>
      <c r="AH20" s="1469"/>
      <c r="AI20" s="1467">
        <v>5</v>
      </c>
      <c r="AJ20" s="1468"/>
      <c r="AK20" s="1469"/>
      <c r="AL20" s="1467">
        <v>5</v>
      </c>
      <c r="AM20" s="1468"/>
      <c r="AN20" s="1469"/>
      <c r="AO20" s="1467">
        <v>5</v>
      </c>
      <c r="AP20" s="1468"/>
      <c r="AQ20" s="1469"/>
    </row>
    <row r="21" spans="1:81" s="433" customFormat="1" ht="16.5" customHeight="1" x14ac:dyDescent="0.25">
      <c r="A21" s="1412"/>
      <c r="B21" s="1413"/>
      <c r="C21" s="1359"/>
      <c r="D21" s="1388" t="s">
        <v>2131</v>
      </c>
      <c r="E21" s="1389"/>
      <c r="F21" s="1376" t="s">
        <v>44</v>
      </c>
      <c r="G21" s="1459"/>
      <c r="H21" s="1385">
        <v>119</v>
      </c>
      <c r="I21" s="1386"/>
      <c r="J21" s="1387"/>
      <c r="K21" s="1385">
        <v>119</v>
      </c>
      <c r="L21" s="1386"/>
      <c r="M21" s="1387"/>
      <c r="N21" s="1385">
        <v>119</v>
      </c>
      <c r="O21" s="1386"/>
      <c r="P21" s="1387"/>
      <c r="Q21" s="1385">
        <v>119</v>
      </c>
      <c r="R21" s="1386"/>
      <c r="S21" s="1387"/>
      <c r="T21" s="1385">
        <v>119</v>
      </c>
      <c r="U21" s="1386"/>
      <c r="V21" s="1387"/>
      <c r="W21" s="1385">
        <v>119</v>
      </c>
      <c r="X21" s="1386"/>
      <c r="Y21" s="1387"/>
      <c r="Z21" s="1385">
        <v>120</v>
      </c>
      <c r="AA21" s="1386"/>
      <c r="AB21" s="1387"/>
      <c r="AC21" s="1385">
        <v>118</v>
      </c>
      <c r="AD21" s="1386"/>
      <c r="AE21" s="1387"/>
      <c r="AF21" s="1385">
        <v>118</v>
      </c>
      <c r="AG21" s="1386"/>
      <c r="AH21" s="1387"/>
      <c r="AI21" s="1385">
        <v>118</v>
      </c>
      <c r="AJ21" s="1386"/>
      <c r="AK21" s="1387"/>
      <c r="AL21" s="1385">
        <v>118</v>
      </c>
      <c r="AM21" s="1386"/>
      <c r="AN21" s="1387"/>
      <c r="AO21" s="1385">
        <v>118</v>
      </c>
      <c r="AP21" s="1386"/>
      <c r="AQ21" s="1387"/>
    </row>
    <row r="22" spans="1:81" s="433" customFormat="1" ht="16.5" customHeight="1" x14ac:dyDescent="0.25">
      <c r="A22" s="1412"/>
      <c r="B22" s="1413"/>
      <c r="C22" s="1359"/>
      <c r="D22" s="1412"/>
      <c r="E22" s="1456"/>
      <c r="F22" s="1460" t="s">
        <v>45</v>
      </c>
      <c r="G22" s="1461"/>
      <c r="H22" s="1464">
        <v>36</v>
      </c>
      <c r="I22" s="1465"/>
      <c r="J22" s="1466"/>
      <c r="K22" s="1464">
        <v>36</v>
      </c>
      <c r="L22" s="1465"/>
      <c r="M22" s="1466"/>
      <c r="N22" s="1464">
        <v>36</v>
      </c>
      <c r="O22" s="1465"/>
      <c r="P22" s="1466"/>
      <c r="Q22" s="1464">
        <v>36</v>
      </c>
      <c r="R22" s="1465"/>
      <c r="S22" s="1466"/>
      <c r="T22" s="1464">
        <v>36</v>
      </c>
      <c r="U22" s="1465"/>
      <c r="V22" s="1466"/>
      <c r="W22" s="1464">
        <v>36</v>
      </c>
      <c r="X22" s="1465"/>
      <c r="Y22" s="1466"/>
      <c r="Z22" s="1464">
        <v>36</v>
      </c>
      <c r="AA22" s="1465"/>
      <c r="AB22" s="1466"/>
      <c r="AC22" s="1464">
        <v>36</v>
      </c>
      <c r="AD22" s="1465"/>
      <c r="AE22" s="1466"/>
      <c r="AF22" s="1464">
        <v>36</v>
      </c>
      <c r="AG22" s="1465"/>
      <c r="AH22" s="1466"/>
      <c r="AI22" s="1464">
        <v>36</v>
      </c>
      <c r="AJ22" s="1465"/>
      <c r="AK22" s="1466"/>
      <c r="AL22" s="1464">
        <v>36</v>
      </c>
      <c r="AM22" s="1465"/>
      <c r="AN22" s="1466"/>
      <c r="AO22" s="1464">
        <v>36</v>
      </c>
      <c r="AP22" s="1465"/>
      <c r="AQ22" s="1466"/>
    </row>
    <row r="23" spans="1:81" s="433" customFormat="1" ht="16.5" customHeight="1" thickBot="1" x14ac:dyDescent="0.3">
      <c r="A23" s="1412"/>
      <c r="B23" s="1413"/>
      <c r="C23" s="1359"/>
      <c r="D23" s="1391"/>
      <c r="E23" s="1392"/>
      <c r="F23" s="1462" t="s">
        <v>46</v>
      </c>
      <c r="G23" s="1463"/>
      <c r="H23" s="1399">
        <v>10.5</v>
      </c>
      <c r="I23" s="1400"/>
      <c r="J23" s="1401"/>
      <c r="K23" s="1399">
        <v>10.5</v>
      </c>
      <c r="L23" s="1400"/>
      <c r="M23" s="1401"/>
      <c r="N23" s="1399">
        <v>10.5</v>
      </c>
      <c r="O23" s="1400"/>
      <c r="P23" s="1401"/>
      <c r="Q23" s="1399">
        <v>10.5</v>
      </c>
      <c r="R23" s="1400"/>
      <c r="S23" s="1401"/>
      <c r="T23" s="1399">
        <v>10.5</v>
      </c>
      <c r="U23" s="1400"/>
      <c r="V23" s="1401"/>
      <c r="W23" s="1446">
        <v>10.5</v>
      </c>
      <c r="X23" s="1447"/>
      <c r="Y23" s="1448"/>
      <c r="Z23" s="1399">
        <v>10.5</v>
      </c>
      <c r="AA23" s="1400"/>
      <c r="AB23" s="1401"/>
      <c r="AC23" s="1399">
        <v>10.5</v>
      </c>
      <c r="AD23" s="1400"/>
      <c r="AE23" s="1401"/>
      <c r="AF23" s="1399">
        <v>10.5</v>
      </c>
      <c r="AG23" s="1400"/>
      <c r="AH23" s="1401"/>
      <c r="AI23" s="1399">
        <v>10.5</v>
      </c>
      <c r="AJ23" s="1400"/>
      <c r="AK23" s="1401"/>
      <c r="AL23" s="1399">
        <v>10.5</v>
      </c>
      <c r="AM23" s="1400"/>
      <c r="AN23" s="1401"/>
      <c r="AO23" s="1399">
        <v>10.5</v>
      </c>
      <c r="AP23" s="1400"/>
      <c r="AQ23" s="1401"/>
    </row>
    <row r="24" spans="1:81" s="433" customFormat="1" ht="16.5" customHeight="1" thickBot="1" x14ac:dyDescent="0.3">
      <c r="A24" s="1391"/>
      <c r="B24" s="1393"/>
      <c r="C24" s="1360"/>
      <c r="D24" s="1402" t="s">
        <v>31</v>
      </c>
      <c r="E24" s="1403"/>
      <c r="F24" s="1403"/>
      <c r="G24" s="1404"/>
      <c r="H24" s="1408" t="s">
        <v>124</v>
      </c>
      <c r="I24" s="1409"/>
      <c r="J24" s="1410"/>
      <c r="K24" s="1408" t="s">
        <v>124</v>
      </c>
      <c r="L24" s="1409"/>
      <c r="M24" s="1410"/>
      <c r="N24" s="1408" t="s">
        <v>124</v>
      </c>
      <c r="O24" s="1409"/>
      <c r="P24" s="1410"/>
      <c r="Q24" s="1408" t="s">
        <v>124</v>
      </c>
      <c r="R24" s="1409"/>
      <c r="S24" s="1410"/>
      <c r="T24" s="1408" t="s">
        <v>124</v>
      </c>
      <c r="U24" s="1409"/>
      <c r="V24" s="1410"/>
      <c r="W24" s="1408" t="s">
        <v>124</v>
      </c>
      <c r="X24" s="1409"/>
      <c r="Y24" s="1410"/>
      <c r="Z24" s="1408" t="s">
        <v>124</v>
      </c>
      <c r="AA24" s="1409"/>
      <c r="AB24" s="1410"/>
      <c r="AC24" s="1408" t="s">
        <v>124</v>
      </c>
      <c r="AD24" s="1409"/>
      <c r="AE24" s="1410"/>
      <c r="AF24" s="1408" t="s">
        <v>124</v>
      </c>
      <c r="AG24" s="1409"/>
      <c r="AH24" s="1410"/>
      <c r="AI24" s="1408" t="s">
        <v>124</v>
      </c>
      <c r="AJ24" s="1409"/>
      <c r="AK24" s="1410"/>
      <c r="AL24" s="1408" t="s">
        <v>124</v>
      </c>
      <c r="AM24" s="1409"/>
      <c r="AN24" s="1410"/>
      <c r="AO24" s="1408" t="s">
        <v>124</v>
      </c>
      <c r="AP24" s="1409"/>
      <c r="AQ24" s="1410"/>
    </row>
    <row r="25" spans="1:81" s="433" customFormat="1" ht="16.5" customHeight="1" x14ac:dyDescent="0.25">
      <c r="A25" s="1388" t="s">
        <v>2133</v>
      </c>
      <c r="B25" s="1389"/>
      <c r="C25" s="1390"/>
      <c r="D25" s="1362"/>
      <c r="E25" s="1364"/>
      <c r="F25" s="1376" t="s">
        <v>44</v>
      </c>
      <c r="G25" s="1459"/>
      <c r="H25" s="453">
        <f t="shared" ref="H25:AQ27" si="0">H17+H9</f>
        <v>49.200619876248638</v>
      </c>
      <c r="I25" s="460">
        <f t="shared" si="0"/>
        <v>9.8410000000000011</v>
      </c>
      <c r="J25" s="461">
        <f t="shared" si="0"/>
        <v>2.5830000000000002</v>
      </c>
      <c r="K25" s="453">
        <f t="shared" si="0"/>
        <v>48.925367451169386</v>
      </c>
      <c r="L25" s="460">
        <f t="shared" si="0"/>
        <v>9.7899999999999991</v>
      </c>
      <c r="M25" s="461">
        <f t="shared" si="0"/>
        <v>2.5529999999999999</v>
      </c>
      <c r="N25" s="453">
        <f t="shared" si="0"/>
        <v>49.657922318920903</v>
      </c>
      <c r="O25" s="460">
        <f t="shared" si="0"/>
        <v>9.9510000000000005</v>
      </c>
      <c r="P25" s="461">
        <f t="shared" si="0"/>
        <v>2.536</v>
      </c>
      <c r="Q25" s="453">
        <f t="shared" si="0"/>
        <v>50.629018897981915</v>
      </c>
      <c r="R25" s="460">
        <f t="shared" si="0"/>
        <v>10.153</v>
      </c>
      <c r="S25" s="461">
        <f t="shared" si="0"/>
        <v>2.5540000000000003</v>
      </c>
      <c r="T25" s="453">
        <f t="shared" si="0"/>
        <v>54.193356948212198</v>
      </c>
      <c r="U25" s="460">
        <f t="shared" si="0"/>
        <v>10.898</v>
      </c>
      <c r="V25" s="461">
        <f t="shared" si="0"/>
        <v>2.6120000000000001</v>
      </c>
      <c r="W25" s="453">
        <f t="shared" si="0"/>
        <v>58.195681309246702</v>
      </c>
      <c r="X25" s="460">
        <f t="shared" si="0"/>
        <v>11.724</v>
      </c>
      <c r="Y25" s="461">
        <f t="shared" si="0"/>
        <v>2.7160000000000002</v>
      </c>
      <c r="Z25" s="453">
        <f t="shared" si="0"/>
        <v>57.219235651873888</v>
      </c>
      <c r="AA25" s="460">
        <f t="shared" si="0"/>
        <v>11.522</v>
      </c>
      <c r="AB25" s="461">
        <f t="shared" si="0"/>
        <v>2.8890000000000002</v>
      </c>
      <c r="AC25" s="453">
        <f t="shared" si="0"/>
        <v>62.379168625083935</v>
      </c>
      <c r="AD25" s="460">
        <f t="shared" si="0"/>
        <v>12.423999999999999</v>
      </c>
      <c r="AE25" s="461">
        <f t="shared" si="0"/>
        <v>3.2720000000000002</v>
      </c>
      <c r="AF25" s="453">
        <f t="shared" si="0"/>
        <v>56.066416902790294</v>
      </c>
      <c r="AG25" s="460">
        <f t="shared" si="0"/>
        <v>11.260999999999999</v>
      </c>
      <c r="AH25" s="461">
        <f t="shared" si="0"/>
        <v>2.5630000000000002</v>
      </c>
      <c r="AI25" s="453">
        <f t="shared" si="0"/>
        <v>54.685630892449375</v>
      </c>
      <c r="AJ25" s="460">
        <f t="shared" si="0"/>
        <v>10.978000000000002</v>
      </c>
      <c r="AK25" s="461">
        <f t="shared" si="0"/>
        <v>2.5220000000000002</v>
      </c>
      <c r="AL25" s="453">
        <f t="shared" si="0"/>
        <v>53.781800141252347</v>
      </c>
      <c r="AM25" s="460">
        <f t="shared" si="0"/>
        <v>10.776999999999999</v>
      </c>
      <c r="AN25" s="461">
        <f t="shared" si="0"/>
        <v>2.5590000000000002</v>
      </c>
      <c r="AO25" s="453">
        <f t="shared" si="0"/>
        <v>52.563423428546436</v>
      </c>
      <c r="AP25" s="460">
        <f t="shared" si="0"/>
        <v>10.556000000000001</v>
      </c>
      <c r="AQ25" s="461">
        <f t="shared" si="0"/>
        <v>2.4039999999999999</v>
      </c>
    </row>
    <row r="26" spans="1:81" s="433" customFormat="1" ht="16.5" customHeight="1" x14ac:dyDescent="0.25">
      <c r="A26" s="1412"/>
      <c r="B26" s="1456"/>
      <c r="C26" s="1413"/>
      <c r="D26" s="1457"/>
      <c r="E26" s="1458"/>
      <c r="F26" s="1460" t="s">
        <v>45</v>
      </c>
      <c r="G26" s="1461"/>
      <c r="H26" s="588">
        <f t="shared" si="0"/>
        <v>27.817870498876662</v>
      </c>
      <c r="I26" s="597">
        <f t="shared" si="0"/>
        <v>1.69</v>
      </c>
      <c r="J26" s="598">
        <f t="shared" si="0"/>
        <v>0.38</v>
      </c>
      <c r="K26" s="588">
        <f t="shared" si="0"/>
        <v>27.467681630120349</v>
      </c>
      <c r="L26" s="597">
        <f t="shared" si="0"/>
        <v>1.67</v>
      </c>
      <c r="M26" s="598">
        <f t="shared" si="0"/>
        <v>0.37</v>
      </c>
      <c r="N26" s="588">
        <f t="shared" si="0"/>
        <v>27.937261165699109</v>
      </c>
      <c r="O26" s="597">
        <f t="shared" si="0"/>
        <v>1.7000000000000002</v>
      </c>
      <c r="P26" s="598">
        <f t="shared" si="0"/>
        <v>0.37</v>
      </c>
      <c r="Q26" s="588">
        <f t="shared" si="0"/>
        <v>28.914897553357754</v>
      </c>
      <c r="R26" s="597">
        <f t="shared" si="0"/>
        <v>1.7600000000000002</v>
      </c>
      <c r="S26" s="598">
        <f t="shared" si="0"/>
        <v>0.38</v>
      </c>
      <c r="T26" s="588">
        <f t="shared" si="0"/>
        <v>30.517579381712522</v>
      </c>
      <c r="U26" s="597">
        <f t="shared" si="0"/>
        <v>1.8599999999999999</v>
      </c>
      <c r="V26" s="598">
        <f t="shared" si="0"/>
        <v>0.39</v>
      </c>
      <c r="W26" s="588">
        <f t="shared" si="0"/>
        <v>32.435335537152199</v>
      </c>
      <c r="X26" s="597">
        <f t="shared" si="0"/>
        <v>1.98</v>
      </c>
      <c r="Y26" s="598">
        <f t="shared" si="0"/>
        <v>0.4</v>
      </c>
      <c r="Z26" s="588">
        <f t="shared" si="0"/>
        <v>31.459634462438615</v>
      </c>
      <c r="AA26" s="597">
        <f t="shared" si="0"/>
        <v>1.92</v>
      </c>
      <c r="AB26" s="598">
        <f t="shared" si="0"/>
        <v>0.39</v>
      </c>
      <c r="AC26" s="588">
        <f t="shared" si="0"/>
        <v>29.829381352581315</v>
      </c>
      <c r="AD26" s="597">
        <f t="shared" si="0"/>
        <v>1.8299999999999998</v>
      </c>
      <c r="AE26" s="598">
        <f t="shared" si="0"/>
        <v>0.32</v>
      </c>
      <c r="AF26" s="588">
        <f t="shared" si="0"/>
        <v>29.54241263982582</v>
      </c>
      <c r="AG26" s="597">
        <f t="shared" si="0"/>
        <v>1.81</v>
      </c>
      <c r="AH26" s="598">
        <f t="shared" si="0"/>
        <v>0.32999999999999996</v>
      </c>
      <c r="AI26" s="588">
        <f t="shared" si="0"/>
        <v>28.063693049867503</v>
      </c>
      <c r="AJ26" s="597">
        <f t="shared" si="0"/>
        <v>1.7200000000000002</v>
      </c>
      <c r="AK26" s="598">
        <f t="shared" si="0"/>
        <v>0.31</v>
      </c>
      <c r="AL26" s="588">
        <f t="shared" si="0"/>
        <v>27.062965907198414</v>
      </c>
      <c r="AM26" s="597">
        <f t="shared" si="0"/>
        <v>1.6600000000000001</v>
      </c>
      <c r="AN26" s="598">
        <f t="shared" si="0"/>
        <v>0.29000000000000004</v>
      </c>
      <c r="AO26" s="588">
        <f t="shared" si="0"/>
        <v>26.402047437906123</v>
      </c>
      <c r="AP26" s="597">
        <f t="shared" si="0"/>
        <v>1.62</v>
      </c>
      <c r="AQ26" s="598">
        <f t="shared" si="0"/>
        <v>0.28000000000000003</v>
      </c>
    </row>
    <row r="27" spans="1:81" s="433" customFormat="1" ht="16.5" customHeight="1" thickBot="1" x14ac:dyDescent="0.3">
      <c r="A27" s="1391"/>
      <c r="B27" s="1392"/>
      <c r="C27" s="1393"/>
      <c r="D27" s="1365"/>
      <c r="E27" s="1367"/>
      <c r="F27" s="1462" t="s">
        <v>46</v>
      </c>
      <c r="G27" s="1463"/>
      <c r="H27" s="457">
        <f t="shared" si="0"/>
        <v>455.73603644291677</v>
      </c>
      <c r="I27" s="462">
        <f t="shared" si="0"/>
        <v>8.0799999999999983</v>
      </c>
      <c r="J27" s="463">
        <f t="shared" si="0"/>
        <v>1.8015296631451356</v>
      </c>
      <c r="K27" s="457">
        <f t="shared" si="0"/>
        <v>453.94354939361563</v>
      </c>
      <c r="L27" s="462">
        <f t="shared" si="0"/>
        <v>8.0500000000000007</v>
      </c>
      <c r="M27" s="463">
        <f t="shared" si="0"/>
        <v>1.7863728841935145</v>
      </c>
      <c r="N27" s="457">
        <f t="shared" si="0"/>
        <v>460.76153995431685</v>
      </c>
      <c r="O27" s="462">
        <f t="shared" si="0"/>
        <v>8.18</v>
      </c>
      <c r="P27" s="463">
        <f t="shared" si="0"/>
        <v>1.7715296631451356</v>
      </c>
      <c r="Q27" s="457">
        <f t="shared" si="0"/>
        <v>468.36132718610196</v>
      </c>
      <c r="R27" s="462">
        <f t="shared" si="0"/>
        <v>8.32</v>
      </c>
      <c r="S27" s="463">
        <f t="shared" si="0"/>
        <v>1.7765296631451357</v>
      </c>
      <c r="T27" s="457">
        <f t="shared" si="0"/>
        <v>503.30462669483529</v>
      </c>
      <c r="U27" s="462">
        <f t="shared" si="0"/>
        <v>8.9599999999999991</v>
      </c>
      <c r="V27" s="463">
        <f t="shared" si="0"/>
        <v>1.8165296631451358</v>
      </c>
      <c r="W27" s="457">
        <f t="shared" si="0"/>
        <v>541.92754732487947</v>
      </c>
      <c r="X27" s="462">
        <f t="shared" si="0"/>
        <v>9.66</v>
      </c>
      <c r="Y27" s="463">
        <f t="shared" si="0"/>
        <v>1.8945296631451358</v>
      </c>
      <c r="Z27" s="457">
        <f t="shared" si="0"/>
        <v>536.09246544741359</v>
      </c>
      <c r="AA27" s="462">
        <f t="shared" si="0"/>
        <v>9.52</v>
      </c>
      <c r="AB27" s="463">
        <f t="shared" si="0"/>
        <v>2.0495296631451358</v>
      </c>
      <c r="AC27" s="457">
        <f t="shared" si="0"/>
        <v>593.7550929761212</v>
      </c>
      <c r="AD27" s="462">
        <f t="shared" si="0"/>
        <v>10.5044</v>
      </c>
      <c r="AE27" s="463">
        <f t="shared" si="0"/>
        <v>2.4436311009699527</v>
      </c>
      <c r="AF27" s="457">
        <f t="shared" si="0"/>
        <v>525.63688039105364</v>
      </c>
      <c r="AG27" s="462">
        <f t="shared" si="0"/>
        <v>9.3699999999999992</v>
      </c>
      <c r="AH27" s="463">
        <f t="shared" si="0"/>
        <v>1.8345296631451355</v>
      </c>
      <c r="AI27" s="457">
        <f t="shared" si="0"/>
        <v>515.20693368598927</v>
      </c>
      <c r="AJ27" s="462">
        <f t="shared" si="0"/>
        <v>9.18</v>
      </c>
      <c r="AK27" s="463">
        <f t="shared" si="0"/>
        <v>1.8196864420967571</v>
      </c>
      <c r="AL27" s="457">
        <f t="shared" si="0"/>
        <v>508.22201086588933</v>
      </c>
      <c r="AM27" s="462">
        <f t="shared" si="0"/>
        <v>9.0399999999999991</v>
      </c>
      <c r="AN27" s="463">
        <f t="shared" si="0"/>
        <v>1.8708</v>
      </c>
      <c r="AO27" s="457">
        <f t="shared" si="0"/>
        <v>497.20766028447815</v>
      </c>
      <c r="AP27" s="462">
        <f t="shared" si="0"/>
        <v>8.86</v>
      </c>
      <c r="AQ27" s="463">
        <f t="shared" si="0"/>
        <v>1.7496864420967571</v>
      </c>
    </row>
    <row r="28" spans="1:81" s="433" customFormat="1" ht="16.5" customHeight="1" x14ac:dyDescent="0.25">
      <c r="A28" s="464" t="s">
        <v>2134</v>
      </c>
      <c r="B28" s="465">
        <f>(I25+L25+O25+R25)/SQRT((I25+L25+O25+R25)^2+(J25+M25+P25+S25)^2)</f>
        <v>0.96844336585921642</v>
      </c>
      <c r="C28" s="466"/>
      <c r="D28" s="442" t="s">
        <v>2135</v>
      </c>
      <c r="E28" s="1398">
        <f>(J25+M25+P25+S25)/(I25+L25+O25+R25)</f>
        <v>0.25735497672077517</v>
      </c>
      <c r="F28" s="1398"/>
      <c r="G28" s="467"/>
      <c r="H28" s="438"/>
      <c r="I28" s="438"/>
      <c r="J28" s="438"/>
      <c r="K28" s="438"/>
      <c r="L28" s="438"/>
      <c r="M28" s="438"/>
      <c r="N28" s="438"/>
      <c r="O28" s="438"/>
      <c r="P28" s="438"/>
      <c r="Q28" s="438"/>
      <c r="R28" s="438"/>
      <c r="S28" s="438"/>
      <c r="T28" s="438"/>
      <c r="U28" s="438"/>
      <c r="V28" s="438"/>
      <c r="W28" s="438"/>
      <c r="X28" s="438"/>
      <c r="Y28" s="438"/>
      <c r="Z28" s="438"/>
      <c r="AA28" s="438"/>
      <c r="AB28" s="438"/>
      <c r="AC28" s="438"/>
      <c r="AD28" s="438"/>
      <c r="AE28" s="438"/>
      <c r="AF28" s="438"/>
      <c r="AG28" s="438"/>
      <c r="AH28" s="438"/>
      <c r="AI28" s="438"/>
      <c r="AJ28" s="438"/>
      <c r="AK28" s="438"/>
      <c r="AL28" s="438"/>
      <c r="AM28" s="438"/>
      <c r="AN28" s="438"/>
      <c r="AO28" s="438"/>
      <c r="AP28" s="438"/>
      <c r="AQ28" s="467"/>
    </row>
    <row r="29" spans="1:81" s="433" customFormat="1" ht="16.5" customHeight="1" x14ac:dyDescent="0.25">
      <c r="A29" s="561" t="s">
        <v>2174</v>
      </c>
      <c r="B29" s="599">
        <f>(I26+L26+O26+R26)/SQRT((I26+L26+O26+R26)^2+(J26+M26+P26+S26)^2)</f>
        <v>0.97665648541634098</v>
      </c>
      <c r="C29" s="600"/>
      <c r="D29" s="442" t="s">
        <v>2175</v>
      </c>
      <c r="E29" s="1398">
        <f>(J26+M26+P26+S26)/(I26+L26+O26+R26)</f>
        <v>0.21994134897360704</v>
      </c>
      <c r="F29" s="1398"/>
      <c r="G29" s="467"/>
      <c r="H29" s="438"/>
      <c r="I29" s="438"/>
      <c r="J29" s="438"/>
      <c r="K29" s="438"/>
      <c r="L29" s="438"/>
      <c r="M29" s="438"/>
      <c r="N29" s="438"/>
      <c r="O29" s="438"/>
      <c r="P29" s="438"/>
      <c r="Q29" s="438"/>
      <c r="R29" s="438"/>
      <c r="S29" s="438"/>
      <c r="T29" s="438"/>
      <c r="U29" s="438"/>
      <c r="V29" s="438"/>
      <c r="W29" s="438"/>
      <c r="X29" s="438"/>
      <c r="Y29" s="438"/>
      <c r="Z29" s="438"/>
      <c r="AA29" s="438"/>
      <c r="AB29" s="438"/>
      <c r="AC29" s="438"/>
      <c r="AD29" s="438"/>
      <c r="AE29" s="438"/>
      <c r="AF29" s="438"/>
      <c r="AG29" s="438"/>
      <c r="AH29" s="438"/>
      <c r="AI29" s="438"/>
      <c r="AJ29" s="438"/>
      <c r="AK29" s="438"/>
      <c r="AL29" s="438"/>
      <c r="AM29" s="438"/>
      <c r="AN29" s="438"/>
      <c r="AO29" s="438"/>
      <c r="AP29" s="438"/>
      <c r="AQ29" s="467"/>
    </row>
    <row r="30" spans="1:81" s="433" customFormat="1" ht="16.5" customHeight="1" thickBot="1" x14ac:dyDescent="0.3">
      <c r="A30" s="468" t="s">
        <v>2136</v>
      </c>
      <c r="B30" s="469">
        <f>(I27+L27+O27+R27)/SQRT((I27+L27+O27+R27)^2+(J27+M27+P27+S27)^2)</f>
        <v>0.9769115825522533</v>
      </c>
      <c r="C30" s="470"/>
      <c r="D30" s="471" t="s">
        <v>2137</v>
      </c>
      <c r="E30" s="1384">
        <f>(J27+M27+P27+S27)/(I27+L27+O27+R27)</f>
        <v>0.21869328451207243</v>
      </c>
      <c r="F30" s="1384"/>
      <c r="G30" s="472"/>
      <c r="H30" s="473"/>
      <c r="I30" s="473"/>
      <c r="J30" s="473"/>
      <c r="K30" s="473"/>
      <c r="L30" s="473"/>
      <c r="M30" s="473"/>
      <c r="N30" s="473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3"/>
      <c r="AB30" s="473"/>
      <c r="AC30" s="473"/>
      <c r="AD30" s="473"/>
      <c r="AE30" s="473"/>
      <c r="AF30" s="473"/>
      <c r="AG30" s="473"/>
      <c r="AH30" s="473"/>
      <c r="AI30" s="473"/>
      <c r="AJ30" s="473"/>
      <c r="AK30" s="473"/>
      <c r="AL30" s="473"/>
      <c r="AM30" s="473"/>
      <c r="AN30" s="473"/>
      <c r="AO30" s="473"/>
      <c r="AP30" s="473"/>
      <c r="AQ30" s="472"/>
    </row>
    <row r="31" spans="1:81" s="433" customFormat="1" ht="16.5" customHeight="1" thickBot="1" x14ac:dyDescent="0.3">
      <c r="A31" s="474"/>
      <c r="B31" s="475"/>
      <c r="C31" s="475"/>
      <c r="D31" s="476"/>
      <c r="E31" s="477"/>
      <c r="F31" s="476"/>
      <c r="G31" s="477"/>
      <c r="H31" s="478"/>
      <c r="I31" s="476"/>
      <c r="J31" s="476"/>
      <c r="K31" s="478"/>
      <c r="L31" s="476"/>
      <c r="M31" s="476"/>
      <c r="N31" s="478"/>
      <c r="O31" s="476"/>
      <c r="P31" s="476"/>
      <c r="Q31" s="478"/>
      <c r="R31" s="476"/>
      <c r="S31" s="476"/>
      <c r="T31" s="478"/>
      <c r="U31" s="476"/>
      <c r="V31" s="476"/>
      <c r="W31" s="478"/>
      <c r="X31" s="476"/>
      <c r="Y31" s="476"/>
      <c r="Z31" s="478"/>
      <c r="AA31" s="476"/>
      <c r="AB31" s="476"/>
      <c r="AC31" s="478"/>
      <c r="AD31" s="476"/>
      <c r="AE31" s="476"/>
      <c r="AF31" s="478"/>
      <c r="AG31" s="476"/>
      <c r="AH31" s="476"/>
      <c r="AI31" s="478"/>
      <c r="AJ31" s="476"/>
      <c r="AK31" s="476"/>
      <c r="AL31" s="478"/>
      <c r="AM31" s="476"/>
      <c r="AN31" s="476"/>
      <c r="AO31" s="478"/>
      <c r="AP31" s="476"/>
      <c r="AQ31" s="476"/>
    </row>
    <row r="32" spans="1:81" s="433" customFormat="1" ht="16.5" customHeight="1" x14ac:dyDescent="0.25">
      <c r="A32" s="1346" t="s">
        <v>2138</v>
      </c>
      <c r="B32" s="1347"/>
      <c r="C32" s="1347"/>
      <c r="D32" s="1385" t="s">
        <v>22</v>
      </c>
      <c r="E32" s="1386"/>
      <c r="F32" s="1386" t="s">
        <v>23</v>
      </c>
      <c r="G32" s="1387"/>
      <c r="H32" s="1368" t="s">
        <v>3</v>
      </c>
      <c r="I32" s="1369"/>
      <c r="J32" s="1370"/>
      <c r="K32" s="1368" t="s">
        <v>4</v>
      </c>
      <c r="L32" s="1369"/>
      <c r="M32" s="1370"/>
      <c r="N32" s="1368" t="s">
        <v>102</v>
      </c>
      <c r="O32" s="1369"/>
      <c r="P32" s="1370"/>
      <c r="Q32" s="1368" t="s">
        <v>103</v>
      </c>
      <c r="R32" s="1369"/>
      <c r="S32" s="1370"/>
      <c r="T32" s="1368" t="s">
        <v>104</v>
      </c>
      <c r="U32" s="1369"/>
      <c r="V32" s="1370"/>
      <c r="W32" s="1368" t="s">
        <v>105</v>
      </c>
      <c r="X32" s="1369"/>
      <c r="Y32" s="1370"/>
      <c r="Z32" s="1368" t="s">
        <v>106</v>
      </c>
      <c r="AA32" s="1369"/>
      <c r="AB32" s="1370"/>
      <c r="AC32" s="1368" t="s">
        <v>108</v>
      </c>
      <c r="AD32" s="1369"/>
      <c r="AE32" s="1370"/>
      <c r="AF32" s="1368" t="s">
        <v>107</v>
      </c>
      <c r="AG32" s="1369"/>
      <c r="AH32" s="1370"/>
      <c r="AI32" s="1368" t="s">
        <v>109</v>
      </c>
      <c r="AJ32" s="1369"/>
      <c r="AK32" s="1370"/>
      <c r="AL32" s="1368" t="s">
        <v>110</v>
      </c>
      <c r="AM32" s="1369"/>
      <c r="AN32" s="1370"/>
      <c r="AO32" s="1368" t="s">
        <v>111</v>
      </c>
      <c r="AP32" s="1369"/>
      <c r="AQ32" s="1370"/>
    </row>
    <row r="33" spans="1:43" s="433" customFormat="1" ht="16.5" customHeight="1" thickBot="1" x14ac:dyDescent="0.3">
      <c r="A33" s="1374" t="s">
        <v>2176</v>
      </c>
      <c r="B33" s="1375"/>
      <c r="C33" s="1375"/>
      <c r="D33" s="601" t="s">
        <v>24</v>
      </c>
      <c r="E33" s="602" t="s">
        <v>25</v>
      </c>
      <c r="F33" s="603" t="s">
        <v>24</v>
      </c>
      <c r="G33" s="604" t="s">
        <v>25</v>
      </c>
      <c r="H33" s="1371"/>
      <c r="I33" s="1372"/>
      <c r="J33" s="1373"/>
      <c r="K33" s="1371"/>
      <c r="L33" s="1372"/>
      <c r="M33" s="1373"/>
      <c r="N33" s="1371"/>
      <c r="O33" s="1372"/>
      <c r="P33" s="1373"/>
      <c r="Q33" s="1371"/>
      <c r="R33" s="1372"/>
      <c r="S33" s="1373"/>
      <c r="T33" s="1371"/>
      <c r="U33" s="1372"/>
      <c r="V33" s="1373"/>
      <c r="W33" s="1371"/>
      <c r="X33" s="1372"/>
      <c r="Y33" s="1373"/>
      <c r="Z33" s="1371"/>
      <c r="AA33" s="1372"/>
      <c r="AB33" s="1373"/>
      <c r="AC33" s="1371"/>
      <c r="AD33" s="1372"/>
      <c r="AE33" s="1373"/>
      <c r="AF33" s="1371"/>
      <c r="AG33" s="1372"/>
      <c r="AH33" s="1373"/>
      <c r="AI33" s="1371"/>
      <c r="AJ33" s="1372"/>
      <c r="AK33" s="1373"/>
      <c r="AL33" s="1371"/>
      <c r="AM33" s="1372"/>
      <c r="AN33" s="1373"/>
      <c r="AO33" s="1371"/>
      <c r="AP33" s="1372"/>
      <c r="AQ33" s="1373"/>
    </row>
    <row r="34" spans="1:43" s="433" customFormat="1" ht="16.5" customHeight="1" x14ac:dyDescent="0.25">
      <c r="A34" s="493" t="s">
        <v>2177</v>
      </c>
      <c r="B34" s="494" t="s">
        <v>2178</v>
      </c>
      <c r="C34" s="605"/>
      <c r="D34" s="606"/>
      <c r="E34" s="607"/>
      <c r="F34" s="608"/>
      <c r="G34" s="609"/>
      <c r="H34" s="610">
        <f>SQRT(I34^2+J34^2)*1000/(1.73*H14)</f>
        <v>10.59243577551101</v>
      </c>
      <c r="I34" s="611">
        <v>0.64</v>
      </c>
      <c r="J34" s="612">
        <v>0.16</v>
      </c>
      <c r="K34" s="613">
        <f>SQRT(L34^2+M34^2)*1000/(1.73*K14)</f>
        <v>10.242246906754698</v>
      </c>
      <c r="L34" s="611">
        <v>0.62</v>
      </c>
      <c r="M34" s="612">
        <v>0.15</v>
      </c>
      <c r="N34" s="613">
        <f>SQRT(O34^2+P34^2)*1000/(1.73*N14)</f>
        <v>10.554642536637633</v>
      </c>
      <c r="O34" s="611">
        <v>0.64</v>
      </c>
      <c r="P34" s="612">
        <v>0.15</v>
      </c>
      <c r="Q34" s="613">
        <f>SQRT(R34^2+S34^2)*1000/(1.73*Q14)</f>
        <v>11.060366152404962</v>
      </c>
      <c r="R34" s="611">
        <v>0.67</v>
      </c>
      <c r="S34" s="612">
        <v>0.16</v>
      </c>
      <c r="T34" s="613">
        <f>SQRT(U34^2+V34^2)*1000/(1.73*T14)</f>
        <v>11.529430360318715</v>
      </c>
      <c r="U34" s="611">
        <v>0.7</v>
      </c>
      <c r="V34" s="612">
        <v>0.16</v>
      </c>
      <c r="W34" s="613">
        <f>SQRT(X34^2+Y34^2)*1000/(1.73*W14)</f>
        <v>12.313371592830983</v>
      </c>
      <c r="X34" s="611">
        <v>0.75</v>
      </c>
      <c r="Y34" s="612">
        <v>0.16</v>
      </c>
      <c r="Z34" s="613">
        <f>SQRT(AA34^2+AB34^2)*1000/(1.73*Z14)</f>
        <v>12.15638614691567</v>
      </c>
      <c r="AA34" s="611">
        <v>0.74</v>
      </c>
      <c r="AB34" s="612">
        <v>0.16</v>
      </c>
      <c r="AC34" s="613">
        <f>SQRT(AD34^2+AE34^2)*1000/(1.73*AC14)</f>
        <v>11.403520169919526</v>
      </c>
      <c r="AD34" s="611">
        <v>0.7</v>
      </c>
      <c r="AE34" s="612">
        <v>0.12</v>
      </c>
      <c r="AF34" s="613">
        <f>SQRT(AG34^2+AH34^2)*1000/(1.73*AF14)</f>
        <v>11.403520169919526</v>
      </c>
      <c r="AG34" s="611">
        <v>0.7</v>
      </c>
      <c r="AH34" s="612">
        <v>0.12</v>
      </c>
      <c r="AI34" s="613">
        <f>SQRT(AJ34^2+AK34^2)*1000/(1.73*AI14)</f>
        <v>10.743479099756007</v>
      </c>
      <c r="AJ34" s="611">
        <v>0.66</v>
      </c>
      <c r="AK34" s="612">
        <v>0.11</v>
      </c>
      <c r="AL34" s="613">
        <f>SQRT(AM34^2+AN34^2)*1000/(1.73*AL14)</f>
        <v>9.9005073920796356</v>
      </c>
      <c r="AM34" s="611">
        <v>0.61</v>
      </c>
      <c r="AN34" s="612">
        <v>0.09</v>
      </c>
      <c r="AO34" s="613">
        <f>SQRT(AP34^2+AQ34^2)*1000/(1.73*AO14)</f>
        <v>9.9005073920796356</v>
      </c>
      <c r="AP34" s="611">
        <v>0.61</v>
      </c>
      <c r="AQ34" s="612">
        <v>0.09</v>
      </c>
    </row>
    <row r="35" spans="1:43" s="433" customFormat="1" ht="16.5" customHeight="1" thickBot="1" x14ac:dyDescent="0.3">
      <c r="A35" s="493" t="s">
        <v>2177</v>
      </c>
      <c r="B35" s="494" t="s">
        <v>2179</v>
      </c>
      <c r="C35" s="605"/>
      <c r="D35" s="614"/>
      <c r="E35" s="615"/>
      <c r="F35" s="616"/>
      <c r="G35" s="617"/>
      <c r="H35" s="618">
        <f>SQRT(I35^2+J35^2)*1000/(1.73*H22)</f>
        <v>17.225434723365652</v>
      </c>
      <c r="I35" s="504">
        <v>1.05</v>
      </c>
      <c r="J35" s="505">
        <v>0.22</v>
      </c>
      <c r="K35" s="503">
        <f>SQRT(L35^2+M35^2)*1000/(1.73*K22)</f>
        <v>17.225434723365652</v>
      </c>
      <c r="L35" s="504">
        <v>1.05</v>
      </c>
      <c r="M35" s="505">
        <v>0.22</v>
      </c>
      <c r="N35" s="503">
        <f>SQRT(O35^2+P35^2)*1000/(1.73*N22)</f>
        <v>17.382618629061476</v>
      </c>
      <c r="O35" s="504">
        <v>1.06</v>
      </c>
      <c r="P35" s="505">
        <v>0.22</v>
      </c>
      <c r="Q35" s="503">
        <f>SQRT(R35^2+S35^2)*1000/(1.73*Q22)</f>
        <v>17.854531400952791</v>
      </c>
      <c r="R35" s="504">
        <v>1.0900000000000001</v>
      </c>
      <c r="S35" s="505">
        <v>0.22</v>
      </c>
      <c r="T35" s="503">
        <f>SQRT(U35^2+V35^2)*1000/(1.73*T22)</f>
        <v>18.988149021393809</v>
      </c>
      <c r="U35" s="504">
        <v>1.1599999999999999</v>
      </c>
      <c r="V35" s="505">
        <v>0.23</v>
      </c>
      <c r="W35" s="503">
        <f>SQRT(X35^2+Y35^2)*1000/(1.73*W22)</f>
        <v>20.121963944321219</v>
      </c>
      <c r="X35" s="504">
        <v>1.23</v>
      </c>
      <c r="Y35" s="505">
        <v>0.24</v>
      </c>
      <c r="Z35" s="503">
        <f>SQRT(AA35^2+AB35^2)*1000/(1.73*Z22)</f>
        <v>19.303248315522946</v>
      </c>
      <c r="AA35" s="504">
        <v>1.18</v>
      </c>
      <c r="AB35" s="505">
        <v>0.23</v>
      </c>
      <c r="AC35" s="503">
        <f>SQRT(AD35^2+AE35^2)*1000/(1.73*AC22)</f>
        <v>18.425861182661791</v>
      </c>
      <c r="AD35" s="504">
        <v>1.1299999999999999</v>
      </c>
      <c r="AE35" s="505">
        <v>0.2</v>
      </c>
      <c r="AF35" s="503">
        <f>SQRT(AG35^2+AH35^2)*1000/(1.73*AF22)</f>
        <v>18.138892469906295</v>
      </c>
      <c r="AG35" s="504">
        <v>1.1100000000000001</v>
      </c>
      <c r="AH35" s="505">
        <v>0.21</v>
      </c>
      <c r="AI35" s="503">
        <f>SQRT(AJ35^2+AK35^2)*1000/(1.73*AI22)</f>
        <v>17.320213950111498</v>
      </c>
      <c r="AJ35" s="504">
        <v>1.06</v>
      </c>
      <c r="AK35" s="505">
        <v>0.2</v>
      </c>
      <c r="AL35" s="503">
        <f>SQRT(AM35^2+AN35^2)*1000/(1.73*AL22)</f>
        <v>17.162458515118779</v>
      </c>
      <c r="AM35" s="504">
        <v>1.05</v>
      </c>
      <c r="AN35" s="505">
        <v>0.2</v>
      </c>
      <c r="AO35" s="503">
        <f>SQRT(AP35^2+AQ35^2)*1000/(1.73*AO22)</f>
        <v>16.501540045826488</v>
      </c>
      <c r="AP35" s="504">
        <v>1.01</v>
      </c>
      <c r="AQ35" s="505">
        <v>0.19</v>
      </c>
    </row>
    <row r="36" spans="1:43" s="433" customFormat="1" ht="16.5" customHeight="1" x14ac:dyDescent="0.25">
      <c r="A36" s="1376" t="s">
        <v>2180</v>
      </c>
      <c r="B36" s="1377"/>
      <c r="C36" s="1377"/>
      <c r="D36" s="1483"/>
      <c r="E36" s="1483"/>
      <c r="F36" s="1483"/>
      <c r="G36" s="1484"/>
      <c r="H36" s="490">
        <f>H34</f>
        <v>10.59243577551101</v>
      </c>
      <c r="I36" s="491">
        <f t="shared" ref="I36:AQ37" si="1">I34</f>
        <v>0.64</v>
      </c>
      <c r="J36" s="492">
        <f t="shared" si="1"/>
        <v>0.16</v>
      </c>
      <c r="K36" s="490">
        <f t="shared" si="1"/>
        <v>10.242246906754698</v>
      </c>
      <c r="L36" s="491">
        <f t="shared" si="1"/>
        <v>0.62</v>
      </c>
      <c r="M36" s="492">
        <f t="shared" si="1"/>
        <v>0.15</v>
      </c>
      <c r="N36" s="490">
        <f t="shared" si="1"/>
        <v>10.554642536637633</v>
      </c>
      <c r="O36" s="491">
        <f t="shared" si="1"/>
        <v>0.64</v>
      </c>
      <c r="P36" s="492">
        <f t="shared" si="1"/>
        <v>0.15</v>
      </c>
      <c r="Q36" s="490">
        <f t="shared" si="1"/>
        <v>11.060366152404962</v>
      </c>
      <c r="R36" s="491">
        <f t="shared" si="1"/>
        <v>0.67</v>
      </c>
      <c r="S36" s="492">
        <f t="shared" si="1"/>
        <v>0.16</v>
      </c>
      <c r="T36" s="490">
        <f t="shared" si="1"/>
        <v>11.529430360318715</v>
      </c>
      <c r="U36" s="491">
        <f t="shared" si="1"/>
        <v>0.7</v>
      </c>
      <c r="V36" s="492">
        <f t="shared" si="1"/>
        <v>0.16</v>
      </c>
      <c r="W36" s="490">
        <f t="shared" si="1"/>
        <v>12.313371592830983</v>
      </c>
      <c r="X36" s="491">
        <f t="shared" si="1"/>
        <v>0.75</v>
      </c>
      <c r="Y36" s="492">
        <f t="shared" si="1"/>
        <v>0.16</v>
      </c>
      <c r="Z36" s="490">
        <f t="shared" si="1"/>
        <v>12.15638614691567</v>
      </c>
      <c r="AA36" s="491">
        <f t="shared" si="1"/>
        <v>0.74</v>
      </c>
      <c r="AB36" s="492">
        <f t="shared" si="1"/>
        <v>0.16</v>
      </c>
      <c r="AC36" s="490">
        <f t="shared" si="1"/>
        <v>11.403520169919526</v>
      </c>
      <c r="AD36" s="491">
        <f t="shared" si="1"/>
        <v>0.7</v>
      </c>
      <c r="AE36" s="492">
        <f t="shared" si="1"/>
        <v>0.12</v>
      </c>
      <c r="AF36" s="490">
        <f t="shared" si="1"/>
        <v>11.403520169919526</v>
      </c>
      <c r="AG36" s="491">
        <f t="shared" si="1"/>
        <v>0.7</v>
      </c>
      <c r="AH36" s="492">
        <f t="shared" si="1"/>
        <v>0.12</v>
      </c>
      <c r="AI36" s="490">
        <f t="shared" si="1"/>
        <v>10.743479099756007</v>
      </c>
      <c r="AJ36" s="491">
        <f t="shared" si="1"/>
        <v>0.66</v>
      </c>
      <c r="AK36" s="492">
        <f t="shared" si="1"/>
        <v>0.11</v>
      </c>
      <c r="AL36" s="490">
        <f t="shared" si="1"/>
        <v>9.9005073920796356</v>
      </c>
      <c r="AM36" s="491">
        <f t="shared" si="1"/>
        <v>0.61</v>
      </c>
      <c r="AN36" s="492">
        <f t="shared" si="1"/>
        <v>0.09</v>
      </c>
      <c r="AO36" s="490">
        <f t="shared" si="1"/>
        <v>9.9005073920796356</v>
      </c>
      <c r="AP36" s="491">
        <f t="shared" si="1"/>
        <v>0.61</v>
      </c>
      <c r="AQ36" s="492">
        <f t="shared" si="1"/>
        <v>0.09</v>
      </c>
    </row>
    <row r="37" spans="1:43" s="433" customFormat="1" ht="16.5" customHeight="1" thickBot="1" x14ac:dyDescent="0.3">
      <c r="A37" s="1379" t="s">
        <v>2181</v>
      </c>
      <c r="B37" s="1380"/>
      <c r="C37" s="1380"/>
      <c r="D37" s="1380"/>
      <c r="E37" s="1380"/>
      <c r="F37" s="1380"/>
      <c r="G37" s="1381"/>
      <c r="H37" s="519">
        <f>H35</f>
        <v>17.225434723365652</v>
      </c>
      <c r="I37" s="520">
        <f t="shared" si="1"/>
        <v>1.05</v>
      </c>
      <c r="J37" s="521">
        <f t="shared" si="1"/>
        <v>0.22</v>
      </c>
      <c r="K37" s="519">
        <f t="shared" si="1"/>
        <v>17.225434723365652</v>
      </c>
      <c r="L37" s="520">
        <f t="shared" si="1"/>
        <v>1.05</v>
      </c>
      <c r="M37" s="521">
        <f t="shared" si="1"/>
        <v>0.22</v>
      </c>
      <c r="N37" s="519">
        <f t="shared" si="1"/>
        <v>17.382618629061476</v>
      </c>
      <c r="O37" s="520">
        <f t="shared" si="1"/>
        <v>1.06</v>
      </c>
      <c r="P37" s="521">
        <f t="shared" si="1"/>
        <v>0.22</v>
      </c>
      <c r="Q37" s="519">
        <f t="shared" si="1"/>
        <v>17.854531400952791</v>
      </c>
      <c r="R37" s="520">
        <f t="shared" si="1"/>
        <v>1.0900000000000001</v>
      </c>
      <c r="S37" s="521">
        <f t="shared" si="1"/>
        <v>0.22</v>
      </c>
      <c r="T37" s="519">
        <f t="shared" si="1"/>
        <v>18.988149021393809</v>
      </c>
      <c r="U37" s="520">
        <f t="shared" si="1"/>
        <v>1.1599999999999999</v>
      </c>
      <c r="V37" s="521">
        <f t="shared" si="1"/>
        <v>0.23</v>
      </c>
      <c r="W37" s="519">
        <f t="shared" si="1"/>
        <v>20.121963944321219</v>
      </c>
      <c r="X37" s="520">
        <f t="shared" si="1"/>
        <v>1.23</v>
      </c>
      <c r="Y37" s="521">
        <f t="shared" si="1"/>
        <v>0.24</v>
      </c>
      <c r="Z37" s="519">
        <f t="shared" si="1"/>
        <v>19.303248315522946</v>
      </c>
      <c r="AA37" s="520">
        <f t="shared" si="1"/>
        <v>1.18</v>
      </c>
      <c r="AB37" s="521">
        <f t="shared" si="1"/>
        <v>0.23</v>
      </c>
      <c r="AC37" s="519">
        <f t="shared" si="1"/>
        <v>18.425861182661791</v>
      </c>
      <c r="AD37" s="520">
        <f t="shared" si="1"/>
        <v>1.1299999999999999</v>
      </c>
      <c r="AE37" s="521">
        <f t="shared" si="1"/>
        <v>0.2</v>
      </c>
      <c r="AF37" s="519">
        <f t="shared" si="1"/>
        <v>18.138892469906295</v>
      </c>
      <c r="AG37" s="520">
        <f t="shared" si="1"/>
        <v>1.1100000000000001</v>
      </c>
      <c r="AH37" s="521">
        <f t="shared" si="1"/>
        <v>0.21</v>
      </c>
      <c r="AI37" s="519">
        <f t="shared" si="1"/>
        <v>17.320213950111498</v>
      </c>
      <c r="AJ37" s="520">
        <f t="shared" si="1"/>
        <v>1.06</v>
      </c>
      <c r="AK37" s="521">
        <f t="shared" si="1"/>
        <v>0.2</v>
      </c>
      <c r="AL37" s="519">
        <f t="shared" si="1"/>
        <v>17.162458515118779</v>
      </c>
      <c r="AM37" s="520">
        <f t="shared" si="1"/>
        <v>1.05</v>
      </c>
      <c r="AN37" s="521">
        <f t="shared" si="1"/>
        <v>0.2</v>
      </c>
      <c r="AO37" s="519">
        <f t="shared" si="1"/>
        <v>16.501540045826488</v>
      </c>
      <c r="AP37" s="520">
        <f t="shared" si="1"/>
        <v>1.01</v>
      </c>
      <c r="AQ37" s="521">
        <f t="shared" si="1"/>
        <v>0.19</v>
      </c>
    </row>
    <row r="38" spans="1:43" s="433" customFormat="1" ht="16.5" customHeight="1" thickBot="1" x14ac:dyDescent="0.3">
      <c r="A38" s="1382" t="s">
        <v>2182</v>
      </c>
      <c r="B38" s="1383"/>
      <c r="C38" s="1383"/>
      <c r="D38" s="1383"/>
      <c r="E38" s="1383"/>
      <c r="F38" s="1383"/>
      <c r="G38" s="1383"/>
      <c r="H38" s="525">
        <f>H36+H37</f>
        <v>27.817870498876662</v>
      </c>
      <c r="I38" s="526">
        <f>I36+I37</f>
        <v>1.69</v>
      </c>
      <c r="J38" s="527">
        <f>J36+J37</f>
        <v>0.38</v>
      </c>
      <c r="K38" s="525">
        <f t="shared" ref="K38:AQ38" si="2">K36+K37</f>
        <v>27.467681630120349</v>
      </c>
      <c r="L38" s="526">
        <f t="shared" si="2"/>
        <v>1.67</v>
      </c>
      <c r="M38" s="527">
        <f t="shared" si="2"/>
        <v>0.37</v>
      </c>
      <c r="N38" s="525">
        <f t="shared" si="2"/>
        <v>27.937261165699109</v>
      </c>
      <c r="O38" s="526">
        <f t="shared" si="2"/>
        <v>1.7000000000000002</v>
      </c>
      <c r="P38" s="527">
        <f t="shared" si="2"/>
        <v>0.37</v>
      </c>
      <c r="Q38" s="525">
        <f t="shared" si="2"/>
        <v>28.914897553357754</v>
      </c>
      <c r="R38" s="526">
        <f t="shared" si="2"/>
        <v>1.7600000000000002</v>
      </c>
      <c r="S38" s="527">
        <f t="shared" si="2"/>
        <v>0.38</v>
      </c>
      <c r="T38" s="525">
        <f t="shared" si="2"/>
        <v>30.517579381712522</v>
      </c>
      <c r="U38" s="526">
        <f t="shared" si="2"/>
        <v>1.8599999999999999</v>
      </c>
      <c r="V38" s="527">
        <f t="shared" si="2"/>
        <v>0.39</v>
      </c>
      <c r="W38" s="525">
        <f t="shared" si="2"/>
        <v>32.435335537152199</v>
      </c>
      <c r="X38" s="526">
        <f t="shared" si="2"/>
        <v>1.98</v>
      </c>
      <c r="Y38" s="527">
        <f t="shared" si="2"/>
        <v>0.4</v>
      </c>
      <c r="Z38" s="525">
        <f t="shared" si="2"/>
        <v>31.459634462438615</v>
      </c>
      <c r="AA38" s="526">
        <f t="shared" si="2"/>
        <v>1.92</v>
      </c>
      <c r="AB38" s="527">
        <f t="shared" si="2"/>
        <v>0.39</v>
      </c>
      <c r="AC38" s="525">
        <f t="shared" si="2"/>
        <v>29.829381352581315</v>
      </c>
      <c r="AD38" s="526">
        <f t="shared" si="2"/>
        <v>1.8299999999999998</v>
      </c>
      <c r="AE38" s="527">
        <f t="shared" si="2"/>
        <v>0.32</v>
      </c>
      <c r="AF38" s="525">
        <f t="shared" si="2"/>
        <v>29.54241263982582</v>
      </c>
      <c r="AG38" s="526">
        <f t="shared" si="2"/>
        <v>1.81</v>
      </c>
      <c r="AH38" s="527">
        <f t="shared" si="2"/>
        <v>0.32999999999999996</v>
      </c>
      <c r="AI38" s="525">
        <f t="shared" si="2"/>
        <v>28.063693049867503</v>
      </c>
      <c r="AJ38" s="526">
        <f t="shared" si="2"/>
        <v>1.7200000000000002</v>
      </c>
      <c r="AK38" s="527">
        <f t="shared" si="2"/>
        <v>0.31</v>
      </c>
      <c r="AL38" s="525">
        <f t="shared" si="2"/>
        <v>27.062965907198414</v>
      </c>
      <c r="AM38" s="526">
        <f t="shared" si="2"/>
        <v>1.6600000000000001</v>
      </c>
      <c r="AN38" s="527">
        <f t="shared" si="2"/>
        <v>0.29000000000000004</v>
      </c>
      <c r="AO38" s="525">
        <f t="shared" si="2"/>
        <v>26.402047437906123</v>
      </c>
      <c r="AP38" s="526">
        <f t="shared" si="2"/>
        <v>1.62</v>
      </c>
      <c r="AQ38" s="527">
        <f t="shared" si="2"/>
        <v>0.28000000000000003</v>
      </c>
    </row>
    <row r="39" spans="1:43" s="433" customFormat="1" ht="16.5" customHeight="1" thickBot="1" x14ac:dyDescent="0.3">
      <c r="A39" s="442"/>
      <c r="B39" s="619"/>
      <c r="C39" s="619"/>
      <c r="D39" s="620"/>
      <c r="E39" s="477"/>
      <c r="F39" s="620"/>
      <c r="G39" s="620"/>
      <c r="H39" s="621"/>
      <c r="I39" s="622"/>
      <c r="J39" s="622"/>
      <c r="K39" s="621"/>
      <c r="L39" s="622"/>
      <c r="M39" s="622"/>
      <c r="N39" s="621"/>
      <c r="O39" s="622"/>
      <c r="P39" s="622"/>
      <c r="Q39" s="621"/>
      <c r="R39" s="622"/>
      <c r="S39" s="622"/>
      <c r="T39" s="621"/>
      <c r="U39" s="622"/>
      <c r="V39" s="622"/>
      <c r="W39" s="621"/>
      <c r="X39" s="622"/>
      <c r="Y39" s="622"/>
      <c r="Z39" s="621"/>
      <c r="AA39" s="622"/>
      <c r="AB39" s="622"/>
      <c r="AC39" s="621"/>
      <c r="AD39" s="622"/>
      <c r="AE39" s="622"/>
      <c r="AF39" s="621"/>
      <c r="AG39" s="622"/>
      <c r="AH39" s="622"/>
      <c r="AI39" s="621"/>
      <c r="AJ39" s="622"/>
      <c r="AK39" s="622"/>
      <c r="AL39" s="621"/>
      <c r="AM39" s="622"/>
      <c r="AN39" s="622"/>
      <c r="AO39" s="621"/>
      <c r="AP39" s="622"/>
      <c r="AQ39" s="622"/>
    </row>
    <row r="40" spans="1:43" s="433" customFormat="1" ht="16.5" customHeight="1" x14ac:dyDescent="0.25">
      <c r="A40" s="1346" t="s">
        <v>2138</v>
      </c>
      <c r="B40" s="1347"/>
      <c r="C40" s="1347"/>
      <c r="D40" s="1385" t="s">
        <v>22</v>
      </c>
      <c r="E40" s="1386"/>
      <c r="F40" s="1386" t="s">
        <v>23</v>
      </c>
      <c r="G40" s="1387"/>
      <c r="H40" s="1368" t="s">
        <v>3</v>
      </c>
      <c r="I40" s="1369"/>
      <c r="J40" s="1370"/>
      <c r="K40" s="1368" t="s">
        <v>4</v>
      </c>
      <c r="L40" s="1369"/>
      <c r="M40" s="1370"/>
      <c r="N40" s="1368" t="s">
        <v>102</v>
      </c>
      <c r="O40" s="1369"/>
      <c r="P40" s="1370"/>
      <c r="Q40" s="1368" t="s">
        <v>103</v>
      </c>
      <c r="R40" s="1369"/>
      <c r="S40" s="1370"/>
      <c r="T40" s="1368" t="s">
        <v>104</v>
      </c>
      <c r="U40" s="1369"/>
      <c r="V40" s="1370"/>
      <c r="W40" s="1368" t="s">
        <v>105</v>
      </c>
      <c r="X40" s="1369"/>
      <c r="Y40" s="1370"/>
      <c r="Z40" s="1368" t="s">
        <v>106</v>
      </c>
      <c r="AA40" s="1369"/>
      <c r="AB40" s="1370"/>
      <c r="AC40" s="1368" t="s">
        <v>108</v>
      </c>
      <c r="AD40" s="1369"/>
      <c r="AE40" s="1370"/>
      <c r="AF40" s="1368" t="s">
        <v>107</v>
      </c>
      <c r="AG40" s="1369"/>
      <c r="AH40" s="1370"/>
      <c r="AI40" s="1368" t="s">
        <v>109</v>
      </c>
      <c r="AJ40" s="1369"/>
      <c r="AK40" s="1370"/>
      <c r="AL40" s="1368" t="s">
        <v>110</v>
      </c>
      <c r="AM40" s="1369"/>
      <c r="AN40" s="1370"/>
      <c r="AO40" s="1368" t="s">
        <v>111</v>
      </c>
      <c r="AP40" s="1369"/>
      <c r="AQ40" s="1370"/>
    </row>
    <row r="41" spans="1:43" s="433" customFormat="1" ht="16.5" customHeight="1" thickBot="1" x14ac:dyDescent="0.3">
      <c r="A41" s="1374" t="s">
        <v>2139</v>
      </c>
      <c r="B41" s="1375"/>
      <c r="C41" s="1375"/>
      <c r="D41" s="479" t="s">
        <v>24</v>
      </c>
      <c r="E41" s="480" t="s">
        <v>25</v>
      </c>
      <c r="F41" s="481" t="s">
        <v>24</v>
      </c>
      <c r="G41" s="482" t="s">
        <v>25</v>
      </c>
      <c r="H41" s="1371"/>
      <c r="I41" s="1372"/>
      <c r="J41" s="1373"/>
      <c r="K41" s="1371"/>
      <c r="L41" s="1372"/>
      <c r="M41" s="1373"/>
      <c r="N41" s="1371"/>
      <c r="O41" s="1372"/>
      <c r="P41" s="1373"/>
      <c r="Q41" s="1371"/>
      <c r="R41" s="1372"/>
      <c r="S41" s="1373"/>
      <c r="T41" s="1371"/>
      <c r="U41" s="1372"/>
      <c r="V41" s="1373"/>
      <c r="W41" s="1371"/>
      <c r="X41" s="1372"/>
      <c r="Y41" s="1373"/>
      <c r="Z41" s="1371"/>
      <c r="AA41" s="1372"/>
      <c r="AB41" s="1373"/>
      <c r="AC41" s="1371"/>
      <c r="AD41" s="1372"/>
      <c r="AE41" s="1373"/>
      <c r="AF41" s="1371"/>
      <c r="AG41" s="1372"/>
      <c r="AH41" s="1373"/>
      <c r="AI41" s="1371"/>
      <c r="AJ41" s="1372"/>
      <c r="AK41" s="1373"/>
      <c r="AL41" s="1371"/>
      <c r="AM41" s="1372"/>
      <c r="AN41" s="1373"/>
      <c r="AO41" s="1371"/>
      <c r="AP41" s="1372"/>
      <c r="AQ41" s="1373"/>
    </row>
    <row r="42" spans="1:43" s="433" customFormat="1" ht="16.5" customHeight="1" x14ac:dyDescent="0.25">
      <c r="A42" s="483" t="s">
        <v>511</v>
      </c>
      <c r="B42" s="484" t="s">
        <v>2183</v>
      </c>
      <c r="C42" s="485"/>
      <c r="D42" s="486"/>
      <c r="E42" s="487"/>
      <c r="F42" s="488"/>
      <c r="G42" s="489"/>
      <c r="H42" s="623">
        <f>SQRT(I42^2+J42^2)*1000/(1.73*H15)</f>
        <v>1.1010184420589046</v>
      </c>
      <c r="I42" s="624">
        <v>0.02</v>
      </c>
      <c r="J42" s="502">
        <v>0</v>
      </c>
      <c r="K42" s="623">
        <f>SQRT(L42^2+M42^2)*1000/(1.73*K15)</f>
        <v>1.1010184420589046</v>
      </c>
      <c r="L42" s="624">
        <v>0.02</v>
      </c>
      <c r="M42" s="502">
        <v>0</v>
      </c>
      <c r="N42" s="623">
        <f>SQRT(O42^2+P42^2)*1000/(1.73*N15)</f>
        <v>1.1010184420589046</v>
      </c>
      <c r="O42" s="624">
        <v>0.02</v>
      </c>
      <c r="P42" s="502">
        <v>0</v>
      </c>
      <c r="Q42" s="623">
        <f>SQRT(R42^2+S42^2)*1000/(1.73*Q15)</f>
        <v>1.1010184420589046</v>
      </c>
      <c r="R42" s="624">
        <v>0.02</v>
      </c>
      <c r="S42" s="502">
        <v>0</v>
      </c>
      <c r="T42" s="623">
        <f>SQRT(U42^2+V42^2)*1000/(1.73*T15)</f>
        <v>1.1010184420589046</v>
      </c>
      <c r="U42" s="624">
        <v>0.02</v>
      </c>
      <c r="V42" s="502">
        <v>0</v>
      </c>
      <c r="W42" s="623">
        <f>SQRT(X42^2+Y42^2)*1000/(1.73*W15)</f>
        <v>1.6515276630883569</v>
      </c>
      <c r="X42" s="624">
        <v>0.03</v>
      </c>
      <c r="Y42" s="502">
        <v>0</v>
      </c>
      <c r="Z42" s="623">
        <f>SQRT(AA42^2+AB42^2)*1000/(1.73*Z15)</f>
        <v>1.1010184420589046</v>
      </c>
      <c r="AA42" s="624">
        <v>0.02</v>
      </c>
      <c r="AB42" s="502">
        <v>0</v>
      </c>
      <c r="AC42" s="623">
        <f>SQRT(AD42^2+AE42^2)*1000/(1.73*AC15)</f>
        <v>1.6515276630883569</v>
      </c>
      <c r="AD42" s="624">
        <v>0.03</v>
      </c>
      <c r="AE42" s="502">
        <v>0</v>
      </c>
      <c r="AF42" s="623">
        <f>SQRT(AG42^2+AH42^2)*1000/(1.73*AF15)</f>
        <v>1.6515276630883569</v>
      </c>
      <c r="AG42" s="624">
        <v>0.03</v>
      </c>
      <c r="AH42" s="502">
        <v>0</v>
      </c>
      <c r="AI42" s="623">
        <f>SQRT(AJ42^2+AK42^2)*1000/(1.73*AI15)</f>
        <v>1.6515276630883569</v>
      </c>
      <c r="AJ42" s="624">
        <v>0.03</v>
      </c>
      <c r="AK42" s="502">
        <v>0</v>
      </c>
      <c r="AL42" s="623">
        <f>SQRT(AM42^2+AN42^2)*1000/(1.73*AL15)</f>
        <v>1.1010184420589046</v>
      </c>
      <c r="AM42" s="624">
        <v>0.02</v>
      </c>
      <c r="AN42" s="502">
        <v>0</v>
      </c>
      <c r="AO42" s="623">
        <f>SQRT(AP42^2+AQ42^2)*1000/(1.73*AO15)</f>
        <v>1.1010184420589046</v>
      </c>
      <c r="AP42" s="624">
        <v>0.02</v>
      </c>
      <c r="AQ42" s="502">
        <v>0</v>
      </c>
    </row>
    <row r="43" spans="1:43" s="433" customFormat="1" ht="16.5" customHeight="1" x14ac:dyDescent="0.25">
      <c r="A43" s="493" t="s">
        <v>562</v>
      </c>
      <c r="B43" s="494" t="s">
        <v>2184</v>
      </c>
      <c r="C43" s="495"/>
      <c r="D43" s="496"/>
      <c r="E43" s="497"/>
      <c r="F43" s="498"/>
      <c r="G43" s="499"/>
      <c r="H43" s="623">
        <f>SQRT(I43^2+J43^2)*1000/(1.73*H15)</f>
        <v>79.897836747709277</v>
      </c>
      <c r="I43" s="624">
        <v>1.42</v>
      </c>
      <c r="J43" s="625">
        <v>0.3</v>
      </c>
      <c r="K43" s="623">
        <f>SQRT(L43^2+M43^2)*1000/(1.73*K15)</f>
        <v>81.514411753156338</v>
      </c>
      <c r="L43" s="624">
        <v>1.45</v>
      </c>
      <c r="M43" s="625">
        <v>0.3</v>
      </c>
      <c r="N43" s="623">
        <f>SQRT(O43^2+P43^2)*1000/(1.73*N15)</f>
        <v>82.592896779851273</v>
      </c>
      <c r="O43" s="624">
        <v>1.47</v>
      </c>
      <c r="P43" s="625">
        <v>0.3</v>
      </c>
      <c r="Q43" s="623">
        <f>SQRT(R43^2+S43^2)*1000/(1.73*Q15)</f>
        <v>82.053579450092855</v>
      </c>
      <c r="R43" s="624">
        <v>1.46</v>
      </c>
      <c r="S43" s="625">
        <v>0.3</v>
      </c>
      <c r="T43" s="623">
        <f>SQRT(U43^2+V43^2)*1000/(1.73*T15)</f>
        <v>86.372072259642991</v>
      </c>
      <c r="U43" s="624">
        <v>1.54</v>
      </c>
      <c r="V43" s="625">
        <v>0.3</v>
      </c>
      <c r="W43" s="623">
        <f>SQRT(X43^2+Y43^2)*1000/(1.73*W15)</f>
        <v>89.719492581979011</v>
      </c>
      <c r="X43" s="624">
        <v>1.6</v>
      </c>
      <c r="Y43" s="625">
        <v>0.31</v>
      </c>
      <c r="Z43" s="623">
        <f>SQRT(AA43^2+AB43^2)*1000/(1.73*Z15)</f>
        <v>84.211717813258218</v>
      </c>
      <c r="AA43" s="624">
        <v>1.5</v>
      </c>
      <c r="AB43" s="625">
        <v>0.3</v>
      </c>
      <c r="AC43" s="623">
        <f>SQRT(AD43^2+AE43^2)*1000/(1.73*AC15)</f>
        <v>83.807683937176179</v>
      </c>
      <c r="AD43" s="624">
        <v>1.5</v>
      </c>
      <c r="AE43" s="625">
        <v>0.26</v>
      </c>
      <c r="AF43" s="623">
        <f>SQRT(AG43^2+AH43^2)*1000/(1.73*AF15)</f>
        <v>82.723055353754305</v>
      </c>
      <c r="AG43" s="624">
        <v>1.48</v>
      </c>
      <c r="AH43" s="625">
        <v>0.26</v>
      </c>
      <c r="AI43" s="623">
        <f>SQRT(AJ43^2+AK43^2)*1000/(1.73*AI15)</f>
        <v>81.0969407149055</v>
      </c>
      <c r="AJ43" s="624">
        <v>1.45</v>
      </c>
      <c r="AK43" s="625">
        <v>0.26</v>
      </c>
      <c r="AL43" s="623">
        <f>SQRT(AM43^2+AN43^2)*1000/(1.73*AL15)</f>
        <v>80.555132282258626</v>
      </c>
      <c r="AM43" s="624">
        <v>1.44</v>
      </c>
      <c r="AN43" s="625">
        <v>0.26</v>
      </c>
      <c r="AO43" s="623">
        <f>SQRT(AP43^2+AQ43^2)*1000/(1.73*AO15)</f>
        <v>77.748587042064045</v>
      </c>
      <c r="AP43" s="624">
        <v>1.39</v>
      </c>
      <c r="AQ43" s="625">
        <v>0.25</v>
      </c>
    </row>
    <row r="44" spans="1:43" s="433" customFormat="1" ht="16.5" customHeight="1" x14ac:dyDescent="0.25">
      <c r="A44" s="493" t="s">
        <v>611</v>
      </c>
      <c r="B44" s="494" t="s">
        <v>2185</v>
      </c>
      <c r="C44" s="495"/>
      <c r="D44" s="496"/>
      <c r="E44" s="497"/>
      <c r="F44" s="498"/>
      <c r="G44" s="499"/>
      <c r="H44" s="623">
        <f>SQRT(I44^2+J44^2)*1000/(1.73*H15)</f>
        <v>2.461952080924624</v>
      </c>
      <c r="I44" s="624">
        <v>0.04</v>
      </c>
      <c r="J44" s="625">
        <v>0.02</v>
      </c>
      <c r="K44" s="623">
        <f>SQRT(L44^2+M44^2)*1000/(1.73*K15)</f>
        <v>2.461952080924624</v>
      </c>
      <c r="L44" s="624">
        <v>0.04</v>
      </c>
      <c r="M44" s="625">
        <v>0.02</v>
      </c>
      <c r="N44" s="623">
        <f>SQRT(O44^2+P44^2)*1000/(1.73*N15)</f>
        <v>2.269807666180931</v>
      </c>
      <c r="O44" s="624">
        <v>0.04</v>
      </c>
      <c r="P44" s="625">
        <v>0.01</v>
      </c>
      <c r="Q44" s="623">
        <f>SQRT(R44^2+S44^2)*1000/(1.73*Q15)</f>
        <v>2.461952080924624</v>
      </c>
      <c r="R44" s="624">
        <v>0.04</v>
      </c>
      <c r="S44" s="625">
        <v>0.02</v>
      </c>
      <c r="T44" s="623">
        <f>SQRT(U44^2+V44^2)*1000/(1.73*T15)</f>
        <v>2.964582883090837</v>
      </c>
      <c r="U44" s="624">
        <v>0.05</v>
      </c>
      <c r="V44" s="625">
        <v>0.02</v>
      </c>
      <c r="W44" s="623">
        <f>SQRT(X44^2+Y44^2)*1000/(1.73*W15)</f>
        <v>3.4817260227562667</v>
      </c>
      <c r="X44" s="624">
        <v>0.06</v>
      </c>
      <c r="Y44" s="625">
        <v>0.02</v>
      </c>
      <c r="Z44" s="623">
        <f>SQRT(AA44^2+AB44^2)*1000/(1.73*Z15)</f>
        <v>2.964582883090837</v>
      </c>
      <c r="AA44" s="624">
        <v>0.05</v>
      </c>
      <c r="AB44" s="625">
        <v>0.02</v>
      </c>
      <c r="AC44" s="623">
        <f>SQRT(AD44^2+AE44^2)*1000/(1.73*AC15)</f>
        <v>2.964582883090837</v>
      </c>
      <c r="AD44" s="624">
        <v>0.05</v>
      </c>
      <c r="AE44" s="625">
        <v>0.02</v>
      </c>
      <c r="AF44" s="623">
        <f>SQRT(AG44^2+AH44^2)*1000/(1.73*AF15)</f>
        <v>2.964582883090837</v>
      </c>
      <c r="AG44" s="624">
        <v>0.05</v>
      </c>
      <c r="AH44" s="625">
        <v>0.02</v>
      </c>
      <c r="AI44" s="623">
        <f>SQRT(AJ44^2+AK44^2)*1000/(1.73*AI15)</f>
        <v>3.4817260227562667</v>
      </c>
      <c r="AJ44" s="624">
        <v>0.06</v>
      </c>
      <c r="AK44" s="625">
        <v>0.02</v>
      </c>
      <c r="AL44" s="623">
        <f>SQRT(AM44^2+AN44^2)*1000/(1.73*AL15)</f>
        <v>2.964582883090837</v>
      </c>
      <c r="AM44" s="624">
        <v>0.05</v>
      </c>
      <c r="AN44" s="625">
        <v>0.02</v>
      </c>
      <c r="AO44" s="623">
        <f>SQRT(AP44^2+AQ44^2)*1000/(1.73*AO15)</f>
        <v>3.4817260227562667</v>
      </c>
      <c r="AP44" s="624">
        <v>0.06</v>
      </c>
      <c r="AQ44" s="625">
        <v>0.02</v>
      </c>
    </row>
    <row r="45" spans="1:43" s="433" customFormat="1" ht="16.5" customHeight="1" x14ac:dyDescent="0.25">
      <c r="A45" s="493" t="s">
        <v>662</v>
      </c>
      <c r="B45" s="494" t="s">
        <v>2186</v>
      </c>
      <c r="C45" s="495"/>
      <c r="D45" s="496"/>
      <c r="E45" s="497"/>
      <c r="F45" s="498"/>
      <c r="G45" s="499"/>
      <c r="H45" s="623">
        <f>SQRT(I45^2+J45^2)*1000/(1.73*H15)</f>
        <v>32.770607557151102</v>
      </c>
      <c r="I45" s="624">
        <v>0.57999999999999996</v>
      </c>
      <c r="J45" s="625">
        <v>0.13400000000000001</v>
      </c>
      <c r="K45" s="623">
        <f>SQRT(L45^2+M45^2)*1000/(1.73*K15)</f>
        <v>33.319454065645616</v>
      </c>
      <c r="L45" s="624">
        <v>0.59</v>
      </c>
      <c r="M45" s="625">
        <v>0.13500000000000001</v>
      </c>
      <c r="N45" s="623">
        <f>SQRT(O45^2+P45^2)*1000/(1.73*N15)</f>
        <v>32.82087775857525</v>
      </c>
      <c r="O45" s="624">
        <v>0.57999999999999996</v>
      </c>
      <c r="P45" s="625">
        <v>0.13800000000000001</v>
      </c>
      <c r="Q45" s="623">
        <f>SQRT(R45^2+S45^2)*1000/(1.73*Q15)</f>
        <v>32.721742035152396</v>
      </c>
      <c r="R45" s="624">
        <v>0.57999999999999996</v>
      </c>
      <c r="S45" s="625">
        <v>0.13</v>
      </c>
      <c r="T45" s="623">
        <f>SQRT(U45^2+V45^2)*1000/(1.73*T15)</f>
        <v>36.065707358456812</v>
      </c>
      <c r="U45" s="624">
        <v>0.64</v>
      </c>
      <c r="V45" s="625">
        <v>0.14000000000000001</v>
      </c>
      <c r="W45" s="623">
        <f>SQRT(X45^2+Y45^2)*1000/(1.73*W15)</f>
        <v>37.680737591296676</v>
      </c>
      <c r="X45" s="624">
        <v>0.67</v>
      </c>
      <c r="Y45" s="625">
        <v>0.14000000000000001</v>
      </c>
      <c r="Z45" s="623">
        <f>SQRT(AA45^2+AB45^2)*1000/(1.73*Z15)</f>
        <v>35.528109662014984</v>
      </c>
      <c r="AA45" s="624">
        <v>0.63</v>
      </c>
      <c r="AB45" s="625">
        <v>0.14000000000000001</v>
      </c>
      <c r="AC45" s="623">
        <f>SQRT(AD45^2+AE45^2)*1000/(1.73*AC15)</f>
        <v>34.764995108939054</v>
      </c>
      <c r="AD45" s="624">
        <v>0.62</v>
      </c>
      <c r="AE45" s="625">
        <v>0.12</v>
      </c>
      <c r="AF45" s="623">
        <f>SQRT(AG45^2+AH45^2)*1000/(1.73*AF15)</f>
        <v>34.764995108939054</v>
      </c>
      <c r="AG45" s="624">
        <v>0.62</v>
      </c>
      <c r="AH45" s="625">
        <v>0.12</v>
      </c>
      <c r="AI45" s="623">
        <f>SQRT(AJ45^2+AK45^2)*1000/(1.73*AI15)</f>
        <v>33.145044257617116</v>
      </c>
      <c r="AJ45" s="624">
        <v>0.59</v>
      </c>
      <c r="AK45" s="625">
        <v>0.12</v>
      </c>
      <c r="AL45" s="623">
        <f>SQRT(AM45^2+AN45^2)*1000/(1.73*AL15)</f>
        <v>31.41763407295409</v>
      </c>
      <c r="AM45" s="624">
        <v>0.56000000000000005</v>
      </c>
      <c r="AN45" s="625">
        <v>0.11</v>
      </c>
      <c r="AO45" s="623">
        <f>SQRT(AP45^2+AQ45^2)*1000/(1.73*AO15)</f>
        <v>30.877629864861348</v>
      </c>
      <c r="AP45" s="624">
        <v>0.55000000000000004</v>
      </c>
      <c r="AQ45" s="625">
        <v>0.11</v>
      </c>
    </row>
    <row r="46" spans="1:43" s="433" customFormat="1" ht="16.5" customHeight="1" x14ac:dyDescent="0.25">
      <c r="A46" s="493" t="s">
        <v>718</v>
      </c>
      <c r="B46" s="494" t="s">
        <v>2187</v>
      </c>
      <c r="C46" s="495"/>
      <c r="D46" s="496"/>
      <c r="E46" s="497"/>
      <c r="F46" s="498"/>
      <c r="G46" s="499"/>
      <c r="H46" s="623">
        <f>SQRT(I46^2+J46^2)*1000/(1.73*H15)</f>
        <v>87.453098506301828</v>
      </c>
      <c r="I46" s="624">
        <v>1.55</v>
      </c>
      <c r="J46" s="625">
        <v>0.34799999999999998</v>
      </c>
      <c r="K46" s="623">
        <f>SQRT(L46^2+M46^2)*1000/(1.73*K15)</f>
        <v>85.232340136284591</v>
      </c>
      <c r="L46" s="624">
        <v>1.51</v>
      </c>
      <c r="M46" s="625">
        <v>0.34200000000000003</v>
      </c>
      <c r="N46" s="623">
        <f>SQRT(O46^2+P46^2)*1000/(1.73*N15)</f>
        <v>89.077104169632932</v>
      </c>
      <c r="O46" s="624">
        <v>1.58</v>
      </c>
      <c r="P46" s="625">
        <v>0.34899999999999998</v>
      </c>
      <c r="Q46" s="623">
        <f>SQRT(R46^2+S46^2)*1000/(1.73*Q15)</f>
        <v>89.65028720023102</v>
      </c>
      <c r="R46" s="624">
        <v>1.59</v>
      </c>
      <c r="S46" s="625">
        <v>0.35199999999999998</v>
      </c>
      <c r="T46" s="623">
        <f>SQRT(U46^2+V46^2)*1000/(1.73*T15)</f>
        <v>99.568903053638024</v>
      </c>
      <c r="U46" s="624">
        <v>1.77</v>
      </c>
      <c r="V46" s="625">
        <v>0.372</v>
      </c>
      <c r="W46" s="623">
        <f>SQRT(X46^2+Y46^2)*1000/(1.73*W15)</f>
        <v>107.74802966464078</v>
      </c>
      <c r="X46" s="624">
        <v>1.92</v>
      </c>
      <c r="Y46" s="625">
        <v>0.38</v>
      </c>
      <c r="Z46" s="623">
        <f>SQRT(AA46^2+AB46^2)*1000/(1.73*Z15)</f>
        <v>114.82868872539161</v>
      </c>
      <c r="AA46" s="624">
        <v>2.04</v>
      </c>
      <c r="AB46" s="625">
        <v>0.435</v>
      </c>
      <c r="AC46" s="623">
        <f>SQRT(AD46^2+AE46^2)*1000/(1.73*AC15)</f>
        <v>111.85231125669364</v>
      </c>
      <c r="AD46" s="624">
        <v>1.99</v>
      </c>
      <c r="AE46" s="625">
        <v>0.41</v>
      </c>
      <c r="AF46" s="623">
        <f>SQRT(AG46^2+AH46^2)*1000/(1.73*AF15)</f>
        <v>110.01510483649302</v>
      </c>
      <c r="AG46" s="624">
        <v>1.96</v>
      </c>
      <c r="AH46" s="625">
        <v>0.39</v>
      </c>
      <c r="AI46" s="623">
        <f>SQRT(AJ46^2+AK46^2)*1000/(1.73*AI15)</f>
        <v>105.69920404569572</v>
      </c>
      <c r="AJ46" s="624">
        <v>1.88</v>
      </c>
      <c r="AK46" s="625">
        <v>0.39</v>
      </c>
      <c r="AL46" s="623">
        <f>SQRT(AM46^2+AN46^2)*1000/(1.73*AL15)</f>
        <v>103.75455920110853</v>
      </c>
      <c r="AM46" s="624">
        <v>1.85</v>
      </c>
      <c r="AN46" s="625">
        <v>0.36</v>
      </c>
      <c r="AO46" s="623">
        <f>SQRT(AP46^2+AQ46^2)*1000/(1.73*AO15)</f>
        <v>104.29498532681714</v>
      </c>
      <c r="AP46" s="624">
        <v>1.86</v>
      </c>
      <c r="AQ46" s="625">
        <v>0.36</v>
      </c>
    </row>
    <row r="47" spans="1:43" s="433" customFormat="1" ht="16.5" customHeight="1" x14ac:dyDescent="0.25">
      <c r="A47" s="493" t="s">
        <v>2188</v>
      </c>
      <c r="B47" s="494" t="s">
        <v>2189</v>
      </c>
      <c r="C47" s="495"/>
      <c r="D47" s="496"/>
      <c r="E47" s="497"/>
      <c r="F47" s="498"/>
      <c r="G47" s="499"/>
      <c r="H47" s="623">
        <f>SQRT(I47^2+J47^2)*1000/(1.73*H15)</f>
        <v>55.415801518238979</v>
      </c>
      <c r="I47" s="624">
        <v>0.98</v>
      </c>
      <c r="J47" s="625">
        <v>0.23</v>
      </c>
      <c r="K47" s="623">
        <f>SQRT(L47^2+M47^2)*1000/(1.73*K15)</f>
        <v>54.879998901542983</v>
      </c>
      <c r="L47" s="624">
        <v>0.97</v>
      </c>
      <c r="M47" s="625">
        <v>0.23</v>
      </c>
      <c r="N47" s="623">
        <f>SQRT(O47^2+P47^2)*1000/(1.73*N15)</f>
        <v>55.415801518238979</v>
      </c>
      <c r="O47" s="624">
        <v>0.98</v>
      </c>
      <c r="P47" s="625">
        <v>0.23</v>
      </c>
      <c r="Q47" s="623">
        <f>SQRT(R47^2+S47^2)*1000/(1.73*Q15)</f>
        <v>57.56178749708544</v>
      </c>
      <c r="R47" s="624">
        <v>1.02</v>
      </c>
      <c r="S47" s="625">
        <v>0.23</v>
      </c>
      <c r="T47" s="623">
        <f>SQRT(U47^2+V47^2)*1000/(1.73*T15)</f>
        <v>60.788284125578627</v>
      </c>
      <c r="U47" s="624">
        <v>1.08</v>
      </c>
      <c r="V47" s="625">
        <v>0.23</v>
      </c>
      <c r="W47" s="623">
        <f>SQRT(X47^2+Y47^2)*1000/(1.73*W15)</f>
        <v>67.369374250606569</v>
      </c>
      <c r="X47" s="624">
        <v>1.2</v>
      </c>
      <c r="Y47" s="625">
        <v>0.24</v>
      </c>
      <c r="Z47" s="623">
        <f>SQRT(AA47^2+AB47^2)*1000/(1.73*Z15)</f>
        <v>62.100270700129244</v>
      </c>
      <c r="AA47" s="624">
        <v>1.1000000000000001</v>
      </c>
      <c r="AB47" s="625">
        <v>0.25</v>
      </c>
      <c r="AC47" s="623">
        <f>SQRT(AD47^2+AE47^2)*1000/(1.73*AC15)</f>
        <v>61.649659423071071</v>
      </c>
      <c r="AD47" s="624">
        <v>1.1000000000000001</v>
      </c>
      <c r="AE47" s="625">
        <v>0.21</v>
      </c>
      <c r="AF47" s="623">
        <f>SQRT(AG47^2+AH47^2)*1000/(1.73*AF15)</f>
        <v>66.522838156578302</v>
      </c>
      <c r="AG47" s="624">
        <v>1.19</v>
      </c>
      <c r="AH47" s="625">
        <v>0.21</v>
      </c>
      <c r="AI47" s="623">
        <f>SQRT(AJ47^2+AK47^2)*1000/(1.73*AI15)</f>
        <v>65.438853034381339</v>
      </c>
      <c r="AJ47" s="624">
        <v>1.17</v>
      </c>
      <c r="AK47" s="625">
        <v>0.21</v>
      </c>
      <c r="AL47" s="623">
        <f>SQRT(AM47^2+AN47^2)*1000/(1.73*AL15)</f>
        <v>65.343844468743825</v>
      </c>
      <c r="AM47" s="624">
        <v>1.17</v>
      </c>
      <c r="AN47" s="625">
        <v>0.2</v>
      </c>
      <c r="AO47" s="623">
        <f>SQRT(AP47^2+AQ47^2)*1000/(1.73*AO15)</f>
        <v>64.801272643268518</v>
      </c>
      <c r="AP47" s="624">
        <v>1.1599999999999999</v>
      </c>
      <c r="AQ47" s="625">
        <v>0.2</v>
      </c>
    </row>
    <row r="48" spans="1:43" s="433" customFormat="1" ht="16.5" customHeight="1" x14ac:dyDescent="0.25">
      <c r="A48" s="493" t="s">
        <v>2190</v>
      </c>
      <c r="B48" s="494" t="s">
        <v>2191</v>
      </c>
      <c r="C48" s="495"/>
      <c r="D48" s="496"/>
      <c r="E48" s="497"/>
      <c r="F48" s="498"/>
      <c r="G48" s="499"/>
      <c r="H48" s="623">
        <f>SQRT(I48^2+J48^2)*1000/(1.73*H23)</f>
        <v>27.66274599813072</v>
      </c>
      <c r="I48" s="624">
        <v>0.5</v>
      </c>
      <c r="J48" s="625">
        <v>0.05</v>
      </c>
      <c r="K48" s="623">
        <f>SQRT(L48^2+M48^2)*1000/(1.73*K23)</f>
        <v>27.115024180621528</v>
      </c>
      <c r="L48" s="624">
        <v>0.49</v>
      </c>
      <c r="M48" s="625">
        <v>0.05</v>
      </c>
      <c r="N48" s="623">
        <f>SQRT(O48^2+P48^2)*1000/(1.73*N23)</f>
        <v>27.115024180621528</v>
      </c>
      <c r="O48" s="624">
        <v>0.49</v>
      </c>
      <c r="P48" s="625">
        <v>0.05</v>
      </c>
      <c r="Q48" s="623">
        <f>SQRT(R48^2+S48^2)*1000/(1.73*Q23)</f>
        <v>28.21057632880585</v>
      </c>
      <c r="R48" s="624">
        <v>0.51</v>
      </c>
      <c r="S48" s="625">
        <v>0.05</v>
      </c>
      <c r="T48" s="623">
        <f>SQRT(U48^2+V48^2)*1000/(1.73*T23)</f>
        <v>29.854658657762183</v>
      </c>
      <c r="U48" s="624">
        <v>0.54</v>
      </c>
      <c r="V48" s="625">
        <v>0.05</v>
      </c>
      <c r="W48" s="623">
        <f>SQRT(X48^2+Y48^2)*1000/(1.73*W23)</f>
        <v>30.951153970538062</v>
      </c>
      <c r="X48" s="624">
        <v>0.56000000000000005</v>
      </c>
      <c r="Y48" s="625">
        <v>0.05</v>
      </c>
      <c r="Z48" s="623">
        <f>SQRT(AA48^2+AB48^2)*1000/(1.73*Z23)</f>
        <v>29.363358883775582</v>
      </c>
      <c r="AA48" s="624">
        <v>0.53</v>
      </c>
      <c r="AB48" s="625">
        <v>0.06</v>
      </c>
      <c r="AC48" s="623">
        <f>SQRT(AD48^2+AE48^2)*1000/(1.73*AC23)</f>
        <v>28.26959994818116</v>
      </c>
      <c r="AD48" s="624">
        <v>0.51</v>
      </c>
      <c r="AE48" s="625">
        <v>0.06</v>
      </c>
      <c r="AF48" s="623">
        <f>SQRT(AG48^2+AH48^2)*1000/(1.73*AF23)</f>
        <v>27.176427299086114</v>
      </c>
      <c r="AG48" s="624">
        <v>0.49</v>
      </c>
      <c r="AH48" s="625">
        <v>0.06</v>
      </c>
      <c r="AI48" s="623">
        <f>SQRT(AJ48^2+AK48^2)*1000/(1.73*AI23)</f>
        <v>26.630083396527002</v>
      </c>
      <c r="AJ48" s="624">
        <v>0.48</v>
      </c>
      <c r="AK48" s="625">
        <v>0.06</v>
      </c>
      <c r="AL48" s="623">
        <f>SQRT(AM48^2+AN48^2)*1000/(1.73*AL23)</f>
        <v>27.722936002233247</v>
      </c>
      <c r="AM48" s="624">
        <v>0.5</v>
      </c>
      <c r="AN48" s="625">
        <v>0.06</v>
      </c>
      <c r="AO48" s="623">
        <f>SQRT(AP48^2+AQ48^2)*1000/(1.73*AO23)</f>
        <v>26.630083396527002</v>
      </c>
      <c r="AP48" s="624">
        <v>0.48</v>
      </c>
      <c r="AQ48" s="625">
        <v>0.06</v>
      </c>
    </row>
    <row r="49" spans="1:43" s="433" customFormat="1" ht="16.5" customHeight="1" x14ac:dyDescent="0.25">
      <c r="A49" s="493" t="s">
        <v>2192</v>
      </c>
      <c r="B49" s="494" t="s">
        <v>2193</v>
      </c>
      <c r="C49" s="495"/>
      <c r="D49" s="496"/>
      <c r="E49" s="497"/>
      <c r="F49" s="498"/>
      <c r="G49" s="499"/>
      <c r="H49" s="623">
        <f>SQRT(I49^2+J49^2)*1000/(1.73*H23)</f>
        <v>46.696845296500371</v>
      </c>
      <c r="I49" s="624">
        <v>0.83</v>
      </c>
      <c r="J49" s="625">
        <v>0.17499999999999999</v>
      </c>
      <c r="K49" s="623">
        <f>SQRT(L49^2+M49^2)*1000/(1.73*K23)</f>
        <v>46.64083584910572</v>
      </c>
      <c r="L49" s="624">
        <v>0.83</v>
      </c>
      <c r="M49" s="625">
        <v>0.17</v>
      </c>
      <c r="N49" s="623">
        <f>SQRT(O49^2+P49^2)*1000/(1.73*N23)</f>
        <v>46.64083584910572</v>
      </c>
      <c r="O49" s="624">
        <v>0.83</v>
      </c>
      <c r="P49" s="625">
        <v>0.17</v>
      </c>
      <c r="Q49" s="623">
        <f>SQRT(R49^2+S49^2)*1000/(1.73*Q23)</f>
        <v>48.800088548704238</v>
      </c>
      <c r="R49" s="624">
        <v>0.87</v>
      </c>
      <c r="S49" s="625">
        <v>0.17</v>
      </c>
      <c r="T49" s="623">
        <f>SQRT(U49^2+V49^2)*1000/(1.73*T23)</f>
        <v>53.769845073822317</v>
      </c>
      <c r="U49" s="624">
        <v>0.96</v>
      </c>
      <c r="V49" s="625">
        <v>0.18</v>
      </c>
      <c r="W49" s="623">
        <f>SQRT(X49^2+Y49^2)*1000/(1.73*W23)</f>
        <v>57.221190025593323</v>
      </c>
      <c r="X49" s="624">
        <v>1.02</v>
      </c>
      <c r="Y49" s="625">
        <v>0.2</v>
      </c>
      <c r="Z49" s="623">
        <f>SQRT(AA49^2+AB49^2)*1000/(1.73*Z23)</f>
        <v>57.279419661853296</v>
      </c>
      <c r="AA49" s="624">
        <v>1.01</v>
      </c>
      <c r="AB49" s="625">
        <v>0.25</v>
      </c>
      <c r="AC49" s="623">
        <f>SQRT(AD49^2+AE49^2)*1000/(1.73*AC23)</f>
        <v>55.829886611737834</v>
      </c>
      <c r="AD49" s="624">
        <v>0.99</v>
      </c>
      <c r="AE49" s="625">
        <v>0.22</v>
      </c>
      <c r="AF49" s="623">
        <f>SQRT(AG49^2+AH49^2)*1000/(1.73*AF23)</f>
        <v>53.560897765836678</v>
      </c>
      <c r="AG49" s="624">
        <v>0.95</v>
      </c>
      <c r="AH49" s="625">
        <v>0.21</v>
      </c>
      <c r="AI49" s="623">
        <f>SQRT(AJ49^2+AK49^2)*1000/(1.73*AI23)</f>
        <v>49.680216560103403</v>
      </c>
      <c r="AJ49" s="624">
        <v>0.88</v>
      </c>
      <c r="AK49" s="625">
        <v>0.2</v>
      </c>
      <c r="AL49" s="623">
        <f>SQRT(AM49^2+AN49^2)*1000/(1.73*AL23)</f>
        <v>47.830983452234094</v>
      </c>
      <c r="AM49" s="624">
        <v>0.85</v>
      </c>
      <c r="AN49" s="625">
        <v>0.18</v>
      </c>
      <c r="AO49" s="623">
        <f>SQRT(AP49^2+AQ49^2)*1000/(1.73*AO23)</f>
        <v>46.337705502931932</v>
      </c>
      <c r="AP49" s="624">
        <v>0.82</v>
      </c>
      <c r="AQ49" s="625">
        <v>0.19</v>
      </c>
    </row>
    <row r="50" spans="1:43" s="433" customFormat="1" ht="16.5" customHeight="1" x14ac:dyDescent="0.25">
      <c r="A50" s="493" t="s">
        <v>985</v>
      </c>
      <c r="B50" s="494" t="s">
        <v>2194</v>
      </c>
      <c r="C50" s="495"/>
      <c r="D50" s="496"/>
      <c r="E50" s="497"/>
      <c r="F50" s="498"/>
      <c r="G50" s="499"/>
      <c r="H50" s="623">
        <f>SQRT(I50^2+J50^2)*1000/(1.73*H23)</f>
        <v>6.1548802023115599</v>
      </c>
      <c r="I50" s="624">
        <v>0.11</v>
      </c>
      <c r="J50" s="625">
        <v>0.02</v>
      </c>
      <c r="K50" s="623">
        <f>SQRT(L50^2+M50^2)*1000/(1.73*K23)</f>
        <v>6.1548802023115599</v>
      </c>
      <c r="L50" s="624">
        <v>0.11</v>
      </c>
      <c r="M50" s="625">
        <v>0.02</v>
      </c>
      <c r="N50" s="623">
        <f>SQRT(O50^2+P50^2)*1000/(1.73*N23)</f>
        <v>6.1548802023115599</v>
      </c>
      <c r="O50" s="624">
        <v>0.11</v>
      </c>
      <c r="P50" s="625">
        <v>0.02</v>
      </c>
      <c r="Q50" s="623">
        <f>SQRT(R50^2+S50^2)*1000/(1.73*Q23)</f>
        <v>5.6141145208838816</v>
      </c>
      <c r="R50" s="624">
        <v>0.1</v>
      </c>
      <c r="S50" s="625">
        <v>0.02</v>
      </c>
      <c r="T50" s="623">
        <f>SQRT(U50^2+V50^2)*1000/(1.73*T23)</f>
        <v>5.5325491996261436</v>
      </c>
      <c r="U50" s="624">
        <v>0.1</v>
      </c>
      <c r="V50" s="625">
        <v>0.01</v>
      </c>
      <c r="W50" s="623">
        <f>SQRT(X50^2+Y50^2)*1000/(1.73*W23)</f>
        <v>5.5325491996261436</v>
      </c>
      <c r="X50" s="624">
        <v>0.1</v>
      </c>
      <c r="Y50" s="625">
        <v>0.01</v>
      </c>
      <c r="Z50" s="623">
        <f>SQRT(AA50^2+AB50^2)*1000/(1.73*Z23)</f>
        <v>6.9634520455125335</v>
      </c>
      <c r="AA50" s="624">
        <v>0.12</v>
      </c>
      <c r="AB50" s="625">
        <v>0.04</v>
      </c>
      <c r="AC50" s="623">
        <f>SQRT(AD50^2+AE50^2)*1000/(1.73*AC23)</f>
        <v>7.6677061806683851</v>
      </c>
      <c r="AD50" s="624">
        <v>0.13</v>
      </c>
      <c r="AE50" s="625">
        <v>0.05</v>
      </c>
      <c r="AF50" s="623">
        <f>SQRT(AG50^2+AH50^2)*1000/(1.73*AF23)</f>
        <v>6.1548802023115599</v>
      </c>
      <c r="AG50" s="624">
        <v>0.11</v>
      </c>
      <c r="AH50" s="625">
        <v>0.02</v>
      </c>
      <c r="AI50" s="623">
        <f>SQRT(AJ50^2+AK50^2)*1000/(1.73*AI23)</f>
        <v>6.0805730895608381</v>
      </c>
      <c r="AJ50" s="624">
        <v>0.11</v>
      </c>
      <c r="AK50" s="625">
        <v>0.01</v>
      </c>
      <c r="AL50" s="623">
        <f>SQRT(AM50^2+AN50^2)*1000/(1.73*AL23)</f>
        <v>6.6972337245232261</v>
      </c>
      <c r="AM50" s="624">
        <v>0.12</v>
      </c>
      <c r="AN50" s="625">
        <v>0.02</v>
      </c>
      <c r="AO50" s="623">
        <f>SQRT(AP50^2+AQ50^2)*1000/(1.73*AO23)</f>
        <v>6.6972337245232261</v>
      </c>
      <c r="AP50" s="624">
        <v>0.12</v>
      </c>
      <c r="AQ50" s="625">
        <v>0.02</v>
      </c>
    </row>
    <row r="51" spans="1:43" s="433" customFormat="1" ht="16.5" customHeight="1" x14ac:dyDescent="0.25">
      <c r="A51" s="493" t="s">
        <v>1218</v>
      </c>
      <c r="B51" s="494" t="s">
        <v>2195</v>
      </c>
      <c r="C51" s="495"/>
      <c r="D51" s="496"/>
      <c r="E51" s="497"/>
      <c r="F51" s="498"/>
      <c r="G51" s="499"/>
      <c r="H51" s="623">
        <f>SQRT(I51^2+J51^2)*1000/(1.73*H23)</f>
        <v>114.69235705940093</v>
      </c>
      <c r="I51" s="624">
        <v>2.02</v>
      </c>
      <c r="J51" s="625">
        <v>0.51</v>
      </c>
      <c r="K51" s="623">
        <f>SQRT(L51^2+M51^2)*1000/(1.73*K23)</f>
        <v>113.49038330904655</v>
      </c>
      <c r="L51" s="624">
        <v>2</v>
      </c>
      <c r="M51" s="625">
        <v>0.5</v>
      </c>
      <c r="N51" s="623">
        <f>SQRT(O51^2+P51^2)*1000/(1.73*N23)</f>
        <v>116.03344965453182</v>
      </c>
      <c r="O51" s="624">
        <v>2.0499999999999998</v>
      </c>
      <c r="P51" s="625">
        <v>0.49</v>
      </c>
      <c r="Q51" s="623">
        <f>SQRT(R51^2+S51^2)*1000/(1.73*Q23)</f>
        <v>118.71230674951342</v>
      </c>
      <c r="R51" s="624">
        <v>2.1</v>
      </c>
      <c r="S51" s="625">
        <v>0.49</v>
      </c>
      <c r="T51" s="623">
        <f>SQRT(U51^2+V51^2)*1000/(1.73*T23)</f>
        <v>125.81153269457467</v>
      </c>
      <c r="U51" s="624">
        <v>2.23</v>
      </c>
      <c r="V51" s="625">
        <v>0.5</v>
      </c>
      <c r="W51" s="623">
        <f>SQRT(X51^2+Y51^2)*1000/(1.73*W23)</f>
        <v>139.07087676007973</v>
      </c>
      <c r="X51" s="624">
        <v>2.4700000000000002</v>
      </c>
      <c r="Y51" s="625">
        <v>0.53</v>
      </c>
      <c r="Z51" s="623">
        <f>SQRT(AA51^2+AB51^2)*1000/(1.73*Z23)</f>
        <v>140.26322449272703</v>
      </c>
      <c r="AA51" s="624">
        <v>2.4900000000000002</v>
      </c>
      <c r="AB51" s="625">
        <v>0.54</v>
      </c>
      <c r="AC51" s="623">
        <f>SQRT(AD51^2+AE51^2)*1000/(1.73*AC23)</f>
        <v>135.18784896819886</v>
      </c>
      <c r="AD51" s="624">
        <v>2.4</v>
      </c>
      <c r="AE51" s="625">
        <v>0.52</v>
      </c>
      <c r="AF51" s="623">
        <f>SQRT(AG51^2+AH51^2)*1000/(1.73*AF23)</f>
        <v>138.53266757128125</v>
      </c>
      <c r="AG51" s="624">
        <v>2.46</v>
      </c>
      <c r="AH51" s="625">
        <v>0.53</v>
      </c>
      <c r="AI51" s="623">
        <f>SQRT(AJ51^2+AK51^2)*1000/(1.73*AI23)</f>
        <v>141.33942318948237</v>
      </c>
      <c r="AJ51" s="624">
        <v>2.5099999999999998</v>
      </c>
      <c r="AK51" s="625">
        <v>0.54</v>
      </c>
      <c r="AL51" s="623">
        <f>SQRT(AM51^2+AN51^2)*1000/(1.73*AL23)</f>
        <v>139.60918186861605</v>
      </c>
      <c r="AM51" s="624">
        <v>2.48</v>
      </c>
      <c r="AN51" s="625">
        <v>0.53</v>
      </c>
      <c r="AO51" s="623">
        <f>SQRT(AP51^2+AQ51^2)*1000/(1.73*AO23)</f>
        <v>134.23058558381331</v>
      </c>
      <c r="AP51" s="624">
        <v>2.38</v>
      </c>
      <c r="AQ51" s="625">
        <v>0.53</v>
      </c>
    </row>
    <row r="52" spans="1:43" s="433" customFormat="1" ht="16.5" customHeight="1" x14ac:dyDescent="0.25">
      <c r="A52" s="493" t="s">
        <v>1288</v>
      </c>
      <c r="B52" s="494" t="s">
        <v>2196</v>
      </c>
      <c r="C52" s="495"/>
      <c r="D52" s="496"/>
      <c r="E52" s="497"/>
      <c r="F52" s="498"/>
      <c r="G52" s="499"/>
      <c r="H52" s="500">
        <f>SQRT(I52^2+J52^2)*1000/(1.73*H23)</f>
        <v>0</v>
      </c>
      <c r="I52" s="501">
        <v>0</v>
      </c>
      <c r="J52" s="502">
        <v>0</v>
      </c>
      <c r="K52" s="500">
        <f>SQRT(L52^2+M52^2)*1000/(1.73*K23)</f>
        <v>0</v>
      </c>
      <c r="L52" s="501">
        <v>0</v>
      </c>
      <c r="M52" s="502">
        <v>0</v>
      </c>
      <c r="N52" s="500">
        <f>SQRT(O52^2+P52^2)*1000/(1.73*N23)</f>
        <v>0</v>
      </c>
      <c r="O52" s="501">
        <v>0</v>
      </c>
      <c r="P52" s="502">
        <v>0</v>
      </c>
      <c r="Q52" s="500">
        <f>SQRT(R52^2+S52^2)*1000/(1.73*Q23)</f>
        <v>0</v>
      </c>
      <c r="R52" s="501">
        <v>0</v>
      </c>
      <c r="S52" s="502">
        <v>0</v>
      </c>
      <c r="T52" s="500">
        <f>SQRT(U52^2+V52^2)*1000/(1.73*T23)</f>
        <v>0</v>
      </c>
      <c r="U52" s="501">
        <v>0</v>
      </c>
      <c r="V52" s="502">
        <v>0</v>
      </c>
      <c r="W52" s="500">
        <f>SQRT(X52^2+Y52^2)*1000/(1.73*W23)</f>
        <v>0</v>
      </c>
      <c r="X52" s="501">
        <v>0</v>
      </c>
      <c r="Y52" s="502">
        <v>0</v>
      </c>
      <c r="Z52" s="500">
        <f>SQRT(AA52^2+AB52^2)*1000/(1.73*Z23)</f>
        <v>0</v>
      </c>
      <c r="AA52" s="501">
        <v>0</v>
      </c>
      <c r="AB52" s="502">
        <v>0</v>
      </c>
      <c r="AC52" s="500">
        <f>SQRT(AD52^2+AE52^2)*1000/(1.73*AC23)</f>
        <v>0</v>
      </c>
      <c r="AD52" s="501">
        <v>0</v>
      </c>
      <c r="AE52" s="502">
        <v>0</v>
      </c>
      <c r="AF52" s="500">
        <f>SQRT(AG52^2+AH52^2)*1000/(1.73*AF23)</f>
        <v>0</v>
      </c>
      <c r="AG52" s="501">
        <v>0</v>
      </c>
      <c r="AH52" s="502">
        <v>0</v>
      </c>
      <c r="AI52" s="500">
        <f>SQRT(AJ52^2+AK52^2)*1000/(1.73*AI23)</f>
        <v>0</v>
      </c>
      <c r="AJ52" s="501">
        <v>0</v>
      </c>
      <c r="AK52" s="502">
        <v>0</v>
      </c>
      <c r="AL52" s="500">
        <f>SQRT(AM52^2+AN52^2)*1000/(1.73*AL23)</f>
        <v>0</v>
      </c>
      <c r="AM52" s="501">
        <v>0</v>
      </c>
      <c r="AN52" s="502">
        <v>0</v>
      </c>
      <c r="AO52" s="500">
        <f>SQRT(AP52^2+AQ52^2)*1000/(1.73*AO23)</f>
        <v>0</v>
      </c>
      <c r="AP52" s="501">
        <v>0</v>
      </c>
      <c r="AQ52" s="502">
        <v>0</v>
      </c>
    </row>
    <row r="53" spans="1:43" s="433" customFormat="1" ht="16.5" customHeight="1" x14ac:dyDescent="0.25">
      <c r="A53" s="493"/>
      <c r="B53" s="494" t="s">
        <v>2152</v>
      </c>
      <c r="C53" s="495"/>
      <c r="D53" s="496"/>
      <c r="E53" s="497"/>
      <c r="F53" s="498"/>
      <c r="G53" s="499"/>
      <c r="H53" s="623">
        <f>SQRT(I53^2+J53^2)*1000/(1.73*H15)</f>
        <v>1.2233538245098938</v>
      </c>
      <c r="I53" s="624">
        <v>0.02</v>
      </c>
      <c r="J53" s="625">
        <v>9.6864420967570503E-3</v>
      </c>
      <c r="K53" s="623">
        <f>SQRT(L53^2+M53^2)*1000/(1.73*K15)</f>
        <v>1.2233538245098938</v>
      </c>
      <c r="L53" s="624">
        <v>0.02</v>
      </c>
      <c r="M53" s="625">
        <v>9.6864420967570503E-3</v>
      </c>
      <c r="N53" s="623">
        <f>SQRT(O53^2+P53^2)*1000/(1.73*N15)</f>
        <v>1.2233538245098938</v>
      </c>
      <c r="O53" s="624">
        <v>0.02</v>
      </c>
      <c r="P53" s="625">
        <v>9.6864420967570503E-3</v>
      </c>
      <c r="Q53" s="623">
        <f>SQRT(R53^2+S53^2)*1000/(1.73*Q15)</f>
        <v>1.2233538245098938</v>
      </c>
      <c r="R53" s="624">
        <v>0.02</v>
      </c>
      <c r="S53" s="625">
        <v>9.6864420967570503E-3</v>
      </c>
      <c r="T53" s="623">
        <f>SQRT(U53^2+V53^2)*1000/(1.73*T15)</f>
        <v>1.2233538245098938</v>
      </c>
      <c r="U53" s="624">
        <v>0.02</v>
      </c>
      <c r="V53" s="625">
        <v>9.6864420967570503E-3</v>
      </c>
      <c r="W53" s="623">
        <f>SQRT(X53^2+Y53^2)*1000/(1.73*W15)</f>
        <v>1.2233538245098938</v>
      </c>
      <c r="X53" s="624">
        <v>0.02</v>
      </c>
      <c r="Y53" s="625">
        <v>9.6864420967570503E-3</v>
      </c>
      <c r="Z53" s="623">
        <f>SQRT(AA53^2+AB53^2)*1000/(1.73*Z15)</f>
        <v>1.2233538245098938</v>
      </c>
      <c r="AA53" s="624">
        <v>0.02</v>
      </c>
      <c r="AB53" s="625">
        <v>9.6864420967570503E-3</v>
      </c>
      <c r="AC53" s="623">
        <f>SQRT(AD53^2+AE53^2)*1000/(1.73*AC15)</f>
        <v>36.22350674373795</v>
      </c>
      <c r="AD53" s="624">
        <v>0.59219999999999995</v>
      </c>
      <c r="AE53" s="625">
        <v>0.28681555048497626</v>
      </c>
      <c r="AF53" s="623">
        <f>SQRT(AG53^2+AH53^2)*1000/(1.73*AF15)</f>
        <v>1.2233538245098938</v>
      </c>
      <c r="AG53" s="624">
        <v>0.02</v>
      </c>
      <c r="AH53" s="625">
        <v>9.6864420967570503E-3</v>
      </c>
      <c r="AI53" s="623">
        <f>SQRT(AJ53^2+AK53^2)*1000/(1.73*AI15)</f>
        <v>0.61167691225494691</v>
      </c>
      <c r="AJ53" s="624">
        <v>0.01</v>
      </c>
      <c r="AK53" s="625">
        <v>4.8432210483785251E-3</v>
      </c>
      <c r="AL53" s="623">
        <f>SQRT(AM53^2+AN53^2)*1000/(1.73*AL15)</f>
        <v>3.6003303055326183</v>
      </c>
      <c r="AM53" s="501">
        <v>0</v>
      </c>
      <c r="AN53" s="625">
        <v>6.54E-2</v>
      </c>
      <c r="AO53" s="500">
        <f>SQRT(AP53^2+AQ53^2)*1000/(1.73*AO15)</f>
        <v>0</v>
      </c>
      <c r="AP53" s="501">
        <v>0</v>
      </c>
      <c r="AQ53" s="502">
        <v>0</v>
      </c>
    </row>
    <row r="54" spans="1:43" s="433" customFormat="1" ht="16.5" customHeight="1" thickBot="1" x14ac:dyDescent="0.3">
      <c r="A54" s="493"/>
      <c r="B54" s="494" t="s">
        <v>2153</v>
      </c>
      <c r="C54" s="495"/>
      <c r="D54" s="496"/>
      <c r="E54" s="497"/>
      <c r="F54" s="498"/>
      <c r="G54" s="499"/>
      <c r="H54" s="626">
        <f>SQRT(I54^2+J54^2)*1000/(1.73*H23)</f>
        <v>0.61167691225494691</v>
      </c>
      <c r="I54" s="627">
        <v>0.01</v>
      </c>
      <c r="J54" s="628">
        <v>4.8432210483785251E-3</v>
      </c>
      <c r="K54" s="623">
        <f>SQRT(L54^2+M54^2)*1000/(1.73*K23)</f>
        <v>1.2233538245098938</v>
      </c>
      <c r="L54" s="624">
        <v>0.02</v>
      </c>
      <c r="M54" s="628">
        <v>9.6864420967570503E-3</v>
      </c>
      <c r="N54" s="623">
        <f>SQRT(O54^2+P54^2)*1000/(1.73*N23)</f>
        <v>0.61167691225494691</v>
      </c>
      <c r="O54" s="624">
        <v>0.01</v>
      </c>
      <c r="P54" s="628">
        <v>4.8432210483785251E-3</v>
      </c>
      <c r="Q54" s="623">
        <f>SQRT(R54^2+S54^2)*1000/(1.73*Q23)</f>
        <v>0.61167691225494691</v>
      </c>
      <c r="R54" s="624">
        <v>0.01</v>
      </c>
      <c r="S54" s="628">
        <v>4.8432210483785251E-3</v>
      </c>
      <c r="T54" s="623">
        <f>SQRT(U54^2+V54^2)*1000/(1.73*T23)</f>
        <v>0.61167691225494691</v>
      </c>
      <c r="U54" s="624">
        <v>0.01</v>
      </c>
      <c r="V54" s="628">
        <v>4.8432210483785251E-3</v>
      </c>
      <c r="W54" s="623">
        <f>SQRT(X54^2+Y54^2)*1000/(1.73*W23)</f>
        <v>0.61167691225494691</v>
      </c>
      <c r="X54" s="624">
        <v>0.01</v>
      </c>
      <c r="Y54" s="628">
        <v>4.8432210483785251E-3</v>
      </c>
      <c r="Z54" s="623">
        <f>SQRT(AA54^2+AB54^2)*1000/(1.73*Z23)</f>
        <v>0.61167691225494691</v>
      </c>
      <c r="AA54" s="624">
        <v>0.01</v>
      </c>
      <c r="AB54" s="628">
        <v>4.8432210483785251E-3</v>
      </c>
      <c r="AC54" s="623">
        <f>SQRT(AD54^2+AE54^2)*1000/(1.73*AC23)</f>
        <v>36.22350674373795</v>
      </c>
      <c r="AD54" s="624">
        <v>0.59219999999999995</v>
      </c>
      <c r="AE54" s="628">
        <v>0.28681555048497626</v>
      </c>
      <c r="AF54" s="623">
        <f>SQRT(AG54^2+AH54^2)*1000/(1.73*AF23)</f>
        <v>0.61167691225494691</v>
      </c>
      <c r="AG54" s="624">
        <v>0.01</v>
      </c>
      <c r="AH54" s="628">
        <v>4.8432210483785251E-3</v>
      </c>
      <c r="AI54" s="623">
        <f>SQRT(AJ54^2+AK54^2)*1000/(1.73*AI23)</f>
        <v>0.61167691225494691</v>
      </c>
      <c r="AJ54" s="624">
        <v>0.01</v>
      </c>
      <c r="AK54" s="628">
        <v>4.8432210483785251E-3</v>
      </c>
      <c r="AL54" s="623">
        <f>SQRT(AM54^2+AN54^2)*1000/(1.73*AL23)</f>
        <v>3.6003303055326183</v>
      </c>
      <c r="AM54" s="501">
        <v>0</v>
      </c>
      <c r="AN54" s="625">
        <v>6.54E-2</v>
      </c>
      <c r="AO54" s="623">
        <f>SQRT(AP54^2+AQ54^2)*1000/(1.73*AO23)</f>
        <v>1.2233538245098938</v>
      </c>
      <c r="AP54" s="624">
        <v>0.02</v>
      </c>
      <c r="AQ54" s="628">
        <v>9.6864420967570503E-3</v>
      </c>
    </row>
    <row r="55" spans="1:43" s="433" customFormat="1" ht="16.5" customHeight="1" x14ac:dyDescent="0.25">
      <c r="A55" s="1376" t="s">
        <v>2154</v>
      </c>
      <c r="B55" s="1377"/>
      <c r="C55" s="1377"/>
      <c r="D55" s="1377"/>
      <c r="E55" s="1377"/>
      <c r="F55" s="1377"/>
      <c r="G55" s="1459"/>
      <c r="H55" s="490">
        <f>H42+H43+H44+H45+H46+H47+H53</f>
        <v>260.32366867689461</v>
      </c>
      <c r="I55" s="491">
        <f>I42+I43+I44+I45+I46+I47+I53</f>
        <v>4.6099999999999994</v>
      </c>
      <c r="J55" s="492">
        <f>J42+J43+J44+J45+J46+J47+J53</f>
        <v>1.0416864420967571</v>
      </c>
      <c r="K55" s="490">
        <f>K42+K43+K44+K45+K46+K47+K53</f>
        <v>259.73252920412295</v>
      </c>
      <c r="L55" s="491">
        <f t="shared" ref="L55:AQ55" si="3">L42+L43+L44+L45+L46+L47+L53</f>
        <v>4.5999999999999996</v>
      </c>
      <c r="M55" s="492">
        <f t="shared" si="3"/>
        <v>1.0366864420967572</v>
      </c>
      <c r="N55" s="490">
        <f t="shared" si="3"/>
        <v>264.50086015904816</v>
      </c>
      <c r="O55" s="491">
        <f t="shared" si="3"/>
        <v>4.6899999999999995</v>
      </c>
      <c r="P55" s="492">
        <f t="shared" si="3"/>
        <v>1.036686442096757</v>
      </c>
      <c r="Q55" s="490">
        <f t="shared" si="3"/>
        <v>266.77372053005513</v>
      </c>
      <c r="R55" s="491">
        <f t="shared" si="3"/>
        <v>4.7300000000000004</v>
      </c>
      <c r="S55" s="492">
        <f t="shared" si="3"/>
        <v>1.0416864420967571</v>
      </c>
      <c r="T55" s="490">
        <f t="shared" si="3"/>
        <v>288.08392194697609</v>
      </c>
      <c r="U55" s="491">
        <f t="shared" si="3"/>
        <v>5.1199999999999992</v>
      </c>
      <c r="V55" s="492">
        <f t="shared" si="3"/>
        <v>1.0716864420967571</v>
      </c>
      <c r="W55" s="490">
        <f t="shared" si="3"/>
        <v>308.87424159887757</v>
      </c>
      <c r="X55" s="491">
        <f t="shared" si="3"/>
        <v>5.5</v>
      </c>
      <c r="Y55" s="492">
        <f t="shared" si="3"/>
        <v>1.0996864420967571</v>
      </c>
      <c r="Z55" s="490">
        <f t="shared" si="3"/>
        <v>301.9577420504537</v>
      </c>
      <c r="AA55" s="491">
        <f t="shared" si="3"/>
        <v>5.3599999999999994</v>
      </c>
      <c r="AB55" s="492">
        <f t="shared" si="3"/>
        <v>1.1546864420967571</v>
      </c>
      <c r="AC55" s="490">
        <f t="shared" si="3"/>
        <v>332.91426701579712</v>
      </c>
      <c r="AD55" s="491">
        <f t="shared" si="3"/>
        <v>5.882200000000001</v>
      </c>
      <c r="AE55" s="492">
        <f t="shared" si="3"/>
        <v>1.3068155504849763</v>
      </c>
      <c r="AF55" s="490">
        <f t="shared" si="3"/>
        <v>299.86545782645379</v>
      </c>
      <c r="AG55" s="491">
        <f t="shared" si="3"/>
        <v>5.35</v>
      </c>
      <c r="AH55" s="492">
        <f t="shared" si="3"/>
        <v>1.0096864420967571</v>
      </c>
      <c r="AI55" s="490">
        <f t="shared" si="3"/>
        <v>291.12497265069925</v>
      </c>
      <c r="AJ55" s="491">
        <f t="shared" si="3"/>
        <v>5.1899999999999995</v>
      </c>
      <c r="AK55" s="492">
        <f t="shared" si="3"/>
        <v>1.0048432210483784</v>
      </c>
      <c r="AL55" s="490">
        <f t="shared" si="3"/>
        <v>288.73710165574744</v>
      </c>
      <c r="AM55" s="491">
        <f t="shared" si="3"/>
        <v>5.09</v>
      </c>
      <c r="AN55" s="492">
        <f t="shared" si="3"/>
        <v>1.0153999999999999</v>
      </c>
      <c r="AO55" s="490">
        <f t="shared" si="3"/>
        <v>282.30521934182622</v>
      </c>
      <c r="AP55" s="491">
        <f t="shared" si="3"/>
        <v>5.04</v>
      </c>
      <c r="AQ55" s="492">
        <f t="shared" si="3"/>
        <v>0.94</v>
      </c>
    </row>
    <row r="56" spans="1:43" s="433" customFormat="1" ht="16.5" customHeight="1" thickBot="1" x14ac:dyDescent="0.3">
      <c r="A56" s="1379" t="s">
        <v>2155</v>
      </c>
      <c r="B56" s="1380"/>
      <c r="C56" s="1380"/>
      <c r="D56" s="1380"/>
      <c r="E56" s="1380"/>
      <c r="F56" s="1380"/>
      <c r="G56" s="1482"/>
      <c r="H56" s="519">
        <f>H54+H52+H51+H50+H49+H48</f>
        <v>195.81850546859854</v>
      </c>
      <c r="I56" s="520">
        <f>I54+I52+I51+I50+I49+I48</f>
        <v>3.4699999999999998</v>
      </c>
      <c r="J56" s="521">
        <f>J54+J52+J51+J50+J49+J48</f>
        <v>0.75984322104837854</v>
      </c>
      <c r="K56" s="519">
        <f>K54+K52+K51+K50+K49+K48</f>
        <v>194.62447736559525</v>
      </c>
      <c r="L56" s="520">
        <f t="shared" ref="L56:AQ56" si="4">L54+L52+L51+L50+L49+L48</f>
        <v>3.45</v>
      </c>
      <c r="M56" s="521">
        <f t="shared" si="4"/>
        <v>0.74968644209675717</v>
      </c>
      <c r="N56" s="519">
        <f t="shared" si="4"/>
        <v>196.55586679882558</v>
      </c>
      <c r="O56" s="520">
        <f t="shared" si="4"/>
        <v>3.4899999999999993</v>
      </c>
      <c r="P56" s="521">
        <f t="shared" si="4"/>
        <v>0.73484322104837863</v>
      </c>
      <c r="Q56" s="519">
        <f t="shared" si="4"/>
        <v>201.94876306016235</v>
      </c>
      <c r="R56" s="520">
        <f t="shared" si="4"/>
        <v>3.59</v>
      </c>
      <c r="S56" s="521">
        <f t="shared" si="4"/>
        <v>0.73484322104837863</v>
      </c>
      <c r="T56" s="519">
        <f t="shared" si="4"/>
        <v>215.58026253804024</v>
      </c>
      <c r="U56" s="520">
        <f t="shared" si="4"/>
        <v>3.84</v>
      </c>
      <c r="V56" s="521">
        <f t="shared" si="4"/>
        <v>0.74484322104837863</v>
      </c>
      <c r="W56" s="519">
        <f t="shared" si="4"/>
        <v>233.38744686809221</v>
      </c>
      <c r="X56" s="520">
        <f t="shared" si="4"/>
        <v>4.16</v>
      </c>
      <c r="Y56" s="521">
        <f t="shared" si="4"/>
        <v>0.79484322104837868</v>
      </c>
      <c r="Z56" s="519">
        <f t="shared" si="4"/>
        <v>234.48113199612339</v>
      </c>
      <c r="AA56" s="520">
        <f t="shared" si="4"/>
        <v>4.16</v>
      </c>
      <c r="AB56" s="521">
        <f t="shared" si="4"/>
        <v>0.89484322104837855</v>
      </c>
      <c r="AC56" s="519">
        <f t="shared" si="4"/>
        <v>263.17854845252418</v>
      </c>
      <c r="AD56" s="520">
        <f t="shared" si="4"/>
        <v>4.6221999999999994</v>
      </c>
      <c r="AE56" s="521">
        <f t="shared" si="4"/>
        <v>1.1368155504849764</v>
      </c>
      <c r="AF56" s="519">
        <f t="shared" si="4"/>
        <v>226.03654975077058</v>
      </c>
      <c r="AG56" s="520">
        <f t="shared" si="4"/>
        <v>4.0199999999999996</v>
      </c>
      <c r="AH56" s="521">
        <f t="shared" si="4"/>
        <v>0.82484322104837848</v>
      </c>
      <c r="AI56" s="519">
        <f t="shared" si="4"/>
        <v>224.34197314792854</v>
      </c>
      <c r="AJ56" s="520">
        <f t="shared" si="4"/>
        <v>3.9899999999999993</v>
      </c>
      <c r="AK56" s="521">
        <f t="shared" si="4"/>
        <v>0.8148432210483787</v>
      </c>
      <c r="AL56" s="519">
        <f t="shared" si="4"/>
        <v>225.46066535313921</v>
      </c>
      <c r="AM56" s="520">
        <f t="shared" si="4"/>
        <v>3.95</v>
      </c>
      <c r="AN56" s="521">
        <f t="shared" si="4"/>
        <v>0.85540000000000016</v>
      </c>
      <c r="AO56" s="519">
        <f t="shared" si="4"/>
        <v>215.11896203230535</v>
      </c>
      <c r="AP56" s="520">
        <f t="shared" si="4"/>
        <v>3.82</v>
      </c>
      <c r="AQ56" s="521">
        <f t="shared" si="4"/>
        <v>0.80968644209675711</v>
      </c>
    </row>
    <row r="57" spans="1:43" s="433" customFormat="1" ht="16.5" customHeight="1" thickBot="1" x14ac:dyDescent="0.3">
      <c r="A57" s="1382" t="s">
        <v>2156</v>
      </c>
      <c r="B57" s="1383"/>
      <c r="C57" s="1383"/>
      <c r="D57" s="1383"/>
      <c r="E57" s="1383"/>
      <c r="F57" s="1383"/>
      <c r="G57" s="1383"/>
      <c r="H57" s="525">
        <f>H55+H56</f>
        <v>456.14217414549319</v>
      </c>
      <c r="I57" s="526">
        <f>I55+I56</f>
        <v>8.0799999999999983</v>
      </c>
      <c r="J57" s="527">
        <f>J55+J56</f>
        <v>1.8015296631451356</v>
      </c>
      <c r="K57" s="525">
        <f t="shared" ref="K57:AQ57" si="5">K55+K56</f>
        <v>454.35700656971824</v>
      </c>
      <c r="L57" s="526">
        <f t="shared" si="5"/>
        <v>8.0500000000000007</v>
      </c>
      <c r="M57" s="527">
        <f t="shared" si="5"/>
        <v>1.7863728841935145</v>
      </c>
      <c r="N57" s="525">
        <f t="shared" si="5"/>
        <v>461.05672695787371</v>
      </c>
      <c r="O57" s="526">
        <f t="shared" si="5"/>
        <v>8.18</v>
      </c>
      <c r="P57" s="527">
        <f t="shared" si="5"/>
        <v>1.7715296631451356</v>
      </c>
      <c r="Q57" s="525">
        <f t="shared" si="5"/>
        <v>468.72248359021751</v>
      </c>
      <c r="R57" s="526">
        <f t="shared" si="5"/>
        <v>8.32</v>
      </c>
      <c r="S57" s="527">
        <f t="shared" si="5"/>
        <v>1.7765296631451357</v>
      </c>
      <c r="T57" s="525">
        <f t="shared" si="5"/>
        <v>503.66418448501634</v>
      </c>
      <c r="U57" s="526">
        <f t="shared" si="5"/>
        <v>8.9599999999999991</v>
      </c>
      <c r="V57" s="527">
        <f t="shared" si="5"/>
        <v>1.8165296631451358</v>
      </c>
      <c r="W57" s="525">
        <f t="shared" si="5"/>
        <v>542.26168846696976</v>
      </c>
      <c r="X57" s="526">
        <f t="shared" si="5"/>
        <v>9.66</v>
      </c>
      <c r="Y57" s="527">
        <f t="shared" si="5"/>
        <v>1.8945296631451358</v>
      </c>
      <c r="Z57" s="525">
        <f t="shared" si="5"/>
        <v>536.4388740465771</v>
      </c>
      <c r="AA57" s="526">
        <f t="shared" si="5"/>
        <v>9.52</v>
      </c>
      <c r="AB57" s="527">
        <f t="shared" si="5"/>
        <v>2.0495296631451358</v>
      </c>
      <c r="AC57" s="525">
        <f t="shared" si="5"/>
        <v>596.09281546832131</v>
      </c>
      <c r="AD57" s="526">
        <f t="shared" si="5"/>
        <v>10.5044</v>
      </c>
      <c r="AE57" s="527">
        <f t="shared" si="5"/>
        <v>2.4436311009699527</v>
      </c>
      <c r="AF57" s="525">
        <f t="shared" si="5"/>
        <v>525.90200757722437</v>
      </c>
      <c r="AG57" s="526">
        <f t="shared" si="5"/>
        <v>9.3699999999999992</v>
      </c>
      <c r="AH57" s="527">
        <f t="shared" si="5"/>
        <v>1.8345296631451355</v>
      </c>
      <c r="AI57" s="525">
        <f t="shared" si="5"/>
        <v>515.46694579862776</v>
      </c>
      <c r="AJ57" s="526">
        <f t="shared" si="5"/>
        <v>9.18</v>
      </c>
      <c r="AK57" s="527">
        <f t="shared" si="5"/>
        <v>1.8196864420967571</v>
      </c>
      <c r="AL57" s="525">
        <f t="shared" si="5"/>
        <v>514.19776700888667</v>
      </c>
      <c r="AM57" s="526">
        <f t="shared" si="5"/>
        <v>9.0399999999999991</v>
      </c>
      <c r="AN57" s="527">
        <f t="shared" si="5"/>
        <v>1.8708</v>
      </c>
      <c r="AO57" s="525">
        <f t="shared" si="5"/>
        <v>497.42418137413154</v>
      </c>
      <c r="AP57" s="526">
        <f t="shared" si="5"/>
        <v>8.86</v>
      </c>
      <c r="AQ57" s="527">
        <f t="shared" si="5"/>
        <v>1.7496864420967571</v>
      </c>
    </row>
    <row r="58" spans="1:43" s="433" customFormat="1" ht="16.5" customHeight="1" x14ac:dyDescent="0.25">
      <c r="A58" s="528"/>
      <c r="B58" s="438"/>
      <c r="C58" s="474"/>
      <c r="D58" s="476"/>
      <c r="E58" s="477"/>
      <c r="F58" s="476"/>
      <c r="G58" s="477"/>
      <c r="H58" s="478"/>
      <c r="I58" s="476"/>
      <c r="K58" s="478"/>
      <c r="L58" s="476"/>
      <c r="M58" s="476"/>
      <c r="N58" s="478"/>
      <c r="O58" s="476"/>
      <c r="P58" s="476"/>
      <c r="Q58" s="478"/>
      <c r="R58" s="476"/>
      <c r="S58" s="476"/>
      <c r="T58" s="478"/>
      <c r="U58" s="476"/>
      <c r="V58" s="476"/>
      <c r="W58" s="478"/>
      <c r="X58" s="476"/>
      <c r="Y58" s="476"/>
      <c r="Z58" s="478"/>
      <c r="AA58" s="476"/>
      <c r="AB58" s="476"/>
      <c r="AC58" s="478"/>
      <c r="AD58" s="476"/>
      <c r="AE58" s="476"/>
      <c r="AF58" s="478"/>
      <c r="AG58" s="476"/>
      <c r="AH58" s="476"/>
      <c r="AI58" s="478"/>
      <c r="AJ58" s="476"/>
      <c r="AK58" s="476"/>
      <c r="AL58" s="478"/>
      <c r="AM58" s="476"/>
      <c r="AN58" s="476"/>
      <c r="AO58" s="478"/>
      <c r="AP58" s="476"/>
      <c r="AQ58" s="476"/>
    </row>
    <row r="59" spans="1:43" s="433" customFormat="1" ht="16.5" hidden="1" customHeight="1" x14ac:dyDescent="0.25">
      <c r="A59" s="529" t="s">
        <v>2157</v>
      </c>
      <c r="B59" s="438"/>
      <c r="C59" s="438"/>
      <c r="D59" s="438"/>
      <c r="E59" s="438"/>
      <c r="F59" s="438"/>
      <c r="G59" s="438"/>
      <c r="H59" s="530"/>
      <c r="I59" s="531"/>
      <c r="J59" s="476"/>
      <c r="K59" s="532"/>
      <c r="L59" s="532"/>
      <c r="M59" s="532"/>
      <c r="N59" s="532"/>
      <c r="O59" s="532"/>
      <c r="P59" s="532"/>
      <c r="Q59" s="532"/>
      <c r="R59" s="532"/>
      <c r="S59" s="532"/>
      <c r="T59" s="532"/>
      <c r="U59" s="532"/>
      <c r="V59" s="532"/>
      <c r="W59" s="532"/>
      <c r="X59" s="532"/>
      <c r="Y59" s="532"/>
      <c r="Z59" s="532"/>
      <c r="AA59" s="532"/>
      <c r="AB59" s="532"/>
      <c r="AC59" s="532"/>
      <c r="AD59" s="532"/>
      <c r="AE59" s="532"/>
      <c r="AF59" s="532"/>
      <c r="AG59" s="532"/>
      <c r="AH59" s="532"/>
      <c r="AI59" s="532"/>
      <c r="AJ59" s="532"/>
      <c r="AK59" s="532"/>
      <c r="AL59" s="532"/>
      <c r="AM59" s="532"/>
      <c r="AN59" s="532"/>
      <c r="AO59" s="532"/>
      <c r="AP59" s="532"/>
      <c r="AQ59" s="532"/>
    </row>
    <row r="60" spans="1:43" s="433" customFormat="1" ht="16.5" hidden="1" customHeight="1" x14ac:dyDescent="0.25">
      <c r="A60" s="1358" t="s">
        <v>12</v>
      </c>
      <c r="B60" s="533" t="s">
        <v>2158</v>
      </c>
      <c r="C60" s="534"/>
      <c r="D60" s="534" t="s">
        <v>2159</v>
      </c>
      <c r="E60" s="534"/>
      <c r="F60" s="534"/>
      <c r="G60" s="535"/>
      <c r="H60" s="536">
        <f>$C$62/1000</f>
        <v>3.1800000000000002E-2</v>
      </c>
      <c r="I60" s="537" t="s">
        <v>2160</v>
      </c>
      <c r="J60" s="538">
        <f>$G$62/1000</f>
        <v>4.0799999999999996E-2</v>
      </c>
      <c r="K60" s="536">
        <f>$C$62/1000</f>
        <v>3.1800000000000002E-2</v>
      </c>
      <c r="L60" s="537" t="s">
        <v>2160</v>
      </c>
      <c r="M60" s="538">
        <f>$G$62/1000</f>
        <v>4.0799999999999996E-2</v>
      </c>
      <c r="N60" s="536">
        <f>$C$62/1000</f>
        <v>3.1800000000000002E-2</v>
      </c>
      <c r="O60" s="537" t="s">
        <v>2160</v>
      </c>
      <c r="P60" s="538">
        <f>$G$62/1000</f>
        <v>4.0799999999999996E-2</v>
      </c>
      <c r="Q60" s="536">
        <f>$C$62/1000</f>
        <v>3.1800000000000002E-2</v>
      </c>
      <c r="R60" s="537" t="s">
        <v>2160</v>
      </c>
      <c r="S60" s="538">
        <f>$G$62/1000</f>
        <v>4.0799999999999996E-2</v>
      </c>
      <c r="T60" s="536">
        <f>$C$62/1000</f>
        <v>3.1800000000000002E-2</v>
      </c>
      <c r="U60" s="537" t="s">
        <v>2160</v>
      </c>
      <c r="V60" s="538">
        <f>$G$62/1000</f>
        <v>4.0799999999999996E-2</v>
      </c>
      <c r="W60" s="536">
        <f>$C$62/1000</f>
        <v>3.1800000000000002E-2</v>
      </c>
      <c r="X60" s="537" t="s">
        <v>2160</v>
      </c>
      <c r="Y60" s="538">
        <f>$G$62/1000</f>
        <v>4.0799999999999996E-2</v>
      </c>
      <c r="Z60" s="536">
        <f>$C$62/1000</f>
        <v>3.1800000000000002E-2</v>
      </c>
      <c r="AA60" s="537" t="s">
        <v>2160</v>
      </c>
      <c r="AB60" s="538">
        <f>$G$62/1000</f>
        <v>4.0799999999999996E-2</v>
      </c>
      <c r="AC60" s="536">
        <f>$C$62/1000</f>
        <v>3.1800000000000002E-2</v>
      </c>
      <c r="AD60" s="537" t="s">
        <v>2160</v>
      </c>
      <c r="AE60" s="538">
        <f>$G$62/1000</f>
        <v>4.0799999999999996E-2</v>
      </c>
      <c r="AF60" s="536">
        <f>$C$62/1000</f>
        <v>3.1800000000000002E-2</v>
      </c>
      <c r="AG60" s="537" t="s">
        <v>2160</v>
      </c>
      <c r="AH60" s="538">
        <f>$G$62/1000</f>
        <v>4.0799999999999996E-2</v>
      </c>
      <c r="AI60" s="536">
        <f>$C$62/1000</f>
        <v>3.1800000000000002E-2</v>
      </c>
      <c r="AJ60" s="537" t="s">
        <v>2160</v>
      </c>
      <c r="AK60" s="538">
        <f>$G$62/1000</f>
        <v>4.0799999999999996E-2</v>
      </c>
      <c r="AL60" s="536">
        <f>$C$62/1000</f>
        <v>3.1800000000000002E-2</v>
      </c>
      <c r="AM60" s="537" t="s">
        <v>2160</v>
      </c>
      <c r="AN60" s="538">
        <f>$G$62/1000</f>
        <v>4.0799999999999996E-2</v>
      </c>
      <c r="AO60" s="536">
        <f>$C$62/1000</f>
        <v>3.1800000000000002E-2</v>
      </c>
      <c r="AP60" s="537" t="s">
        <v>2160</v>
      </c>
      <c r="AQ60" s="538">
        <f>$G$62/1000</f>
        <v>4.0799999999999996E-2</v>
      </c>
    </row>
    <row r="61" spans="1:43" s="433" customFormat="1" ht="16.5" hidden="1" customHeight="1" x14ac:dyDescent="0.25">
      <c r="A61" s="1359"/>
      <c r="B61" s="539" t="s">
        <v>2161</v>
      </c>
      <c r="C61" s="540"/>
      <c r="D61" s="540" t="s">
        <v>2162</v>
      </c>
      <c r="E61" s="540"/>
      <c r="F61" s="540"/>
      <c r="G61" s="541"/>
      <c r="H61" s="542">
        <f>(((I9^2+J9^2)*$C$63/1000)+((I10^2+J10^2)*$G$63/1000)+((I11^2+J11^2)*$J$63/1000))/$C$9*$C$9</f>
        <v>6.2253162411403125</v>
      </c>
      <c r="I61" s="543" t="s">
        <v>2160</v>
      </c>
      <c r="J61" s="544">
        <f>(((I9^2+J9^2)*$M$63)+((I10^2+J10^2)*$P$63)+((I11^2+J11^2)*S63))/(100*$C$9)</f>
        <v>0.30242474223391691</v>
      </c>
      <c r="K61" s="542">
        <f>(((L9^2+M9^2)*$C$63/1000)+((L10^2+M10^2)*$G$63/1000)+((L11^2+M11^2)*$J$63/1000))/$C$9*$C$9</f>
        <v>6.1638723475728341</v>
      </c>
      <c r="L61" s="543" t="s">
        <v>2160</v>
      </c>
      <c r="M61" s="544">
        <f>(((L9^2+M9^2)*$M$63)+((L10^2+M10^2)*$P$63)+((L11^2+M11^2)*V63))/(100*$C$9)</f>
        <v>0.19944156213750003</v>
      </c>
      <c r="N61" s="542">
        <f>(((O9^2+P9^2)*$C$63/1000)+((O10^2+P10^2)*$G$63/1000)+((O11^2+P11^2)*$J$63/1000))/$C$9*$C$9</f>
        <v>6.4038128005728341</v>
      </c>
      <c r="O61" s="543" t="s">
        <v>2160</v>
      </c>
      <c r="P61" s="544">
        <f>(((O9^2+P9^2)*$M$63)+((O10^2+P10^2)*$P$63)+((O11^2+P11^2)*Y63))/(100*$C$9)</f>
        <v>0.20730888138750003</v>
      </c>
      <c r="Q61" s="542">
        <f>(((R9^2+S9^2)*$C$63/1000)+((R10^2+S10^2)*$G$63/1000)+((R11^2+S11^2)*$J$63/1000))/$C$9*$C$9</f>
        <v>6.5544904175403129</v>
      </c>
      <c r="R61" s="543" t="s">
        <v>2160</v>
      </c>
      <c r="S61" s="544">
        <f>(((R9^2+S9^2)*$M$63)+((R10^2+S10^2)*$P$63)+((R11^2+S11^2)*AB63))/(100*$C$9)</f>
        <v>0.21280826062499997</v>
      </c>
      <c r="T61" s="542">
        <f>(((U9^2+V9^2)*$C$63/1000)+((U10^2+V10^2)*$G$63/1000)+((U11^2+V11^2)*$J$63/1000))/$C$9*$C$9</f>
        <v>7.591568250245178</v>
      </c>
      <c r="U61" s="543" t="s">
        <v>2160</v>
      </c>
      <c r="V61" s="544">
        <f>(((U9^2+V9^2)*$M$63)+((U10^2+V10^2)*$P$63)+((U11^2+V11^2)*AE63))/(100*$C$9)</f>
        <v>0.2456822189</v>
      </c>
      <c r="W61" s="542">
        <f>(((X9^2+Y9^2)*$C$63/1000)+((X10^2+Y10^2)*$G$63/1000)+((X11^2+Y11^2)*$J$63/1000))/$C$9*$C$9</f>
        <v>8.7141119295830567</v>
      </c>
      <c r="X61" s="543" t="s">
        <v>2160</v>
      </c>
      <c r="Y61" s="544">
        <f>(((X9^2+Y9^2)*$M$63)+((X10^2+Y10^2)*$P$63)+((X11^2+Y11^2)*AH63))/(100*$C$9)</f>
        <v>0.28178130792499995</v>
      </c>
      <c r="Z61" s="542">
        <f>(((AA9^2+AB9^2)*$C$63/1000)+((AA10^2+AB10^2)*$G$63/1000)+((AA11^2+AB11^2)*$J$63/1000))/$C$9*$C$9</f>
        <v>8.3524121716253141</v>
      </c>
      <c r="AA61" s="543" t="s">
        <v>2160</v>
      </c>
      <c r="AB61" s="544">
        <f>(((AA9^2+AB9^2)*$M$63)+((AA10^2+AB10^2)*$P$63)+((AA11^2+AB11^2)*AK63))/(100*$C$9)</f>
        <v>0.27048636143749993</v>
      </c>
      <c r="AC61" s="542">
        <f>(((AD9^2+AE9^2)*$C$63/1000)+((AD10^2+AE10^2)*$G$63/1000)+((AD11^2+AE11^2)*$J$63/1000))/$C$9*$C$9</f>
        <v>9.8435133197671973</v>
      </c>
      <c r="AD61" s="543" t="s">
        <v>2160</v>
      </c>
      <c r="AE61" s="544">
        <f>(((AD9^2+AE9^2)*$M$63)+((AD10^2+AE10^2)*$P$63)+((AD11^2+AE11^2)*AN63))/(100*$C$9)</f>
        <v>0.31522219648749994</v>
      </c>
      <c r="AF61" s="542">
        <f>(((AG9^2+AH9^2)*$C$63/1000)+((AG10^2+AH10^2)*$G$63/1000)+((AG11^2+AH11^2)*$J$63/1000))/$C$9*$C$9</f>
        <v>8.1390001866684507</v>
      </c>
      <c r="AG61" s="543" t="s">
        <v>2160</v>
      </c>
      <c r="AH61" s="544">
        <f>(((AG9^2+AH9^2)*$M$63)+((AG10^2+AH10^2)*$P$63)+((AG11^2+AH11^2)*AQ63))/(100*$C$9)</f>
        <v>0.2621135765</v>
      </c>
      <c r="AI61" s="542">
        <f>(((AJ9^2+AK9^2)*$C$63/1000)+((AJ10^2+AK10^2)*$G$63/1000)+((AJ11^2+AK11^2)*$J$63/1000))/$C$9*$C$9</f>
        <v>7.6386829620910159</v>
      </c>
      <c r="AJ61" s="543" t="s">
        <v>2160</v>
      </c>
      <c r="AK61" s="544">
        <f>(((AJ9^2+AK9^2)*$M$63)+((AJ10^2+AK10^2)*$P$63)+((AJ11^2+AK11^2)*J132))/(100*$C$9)</f>
        <v>0.24549629995</v>
      </c>
      <c r="AL61" s="542">
        <f>(((AM9^2+AN9^2)*$C$63/1000)+((AM10^2+AN10^2)*$G$63/1000)+((AM11^2+AN11^2)*$J$63/1000))/$C$9*$C$9</f>
        <v>7.2961361462915981</v>
      </c>
      <c r="AM61" s="543" t="s">
        <v>2160</v>
      </c>
      <c r="AN61" s="544">
        <f>(((AM9^2+AN9^2)*$M$63)+((AM10^2+AN10^2)*$P$63)+((AM11^2+AN11^2)*M132))/(100*$C$9)</f>
        <v>0.23348757397499997</v>
      </c>
      <c r="AO61" s="542">
        <f>(((AP9^2+AQ9^2)*$C$63/1000)+((AP10^2+AQ10^2)*$G$63/1000)+((AP11^2+AQ11^2)*$J$63/1000))/$C$9*$C$9</f>
        <v>7.1257831121999988</v>
      </c>
      <c r="AP61" s="543" t="s">
        <v>2160</v>
      </c>
      <c r="AQ61" s="544">
        <f>(((AP9^2+AQ9^2)*$M$63)+((AP10^2+AQ10^2)*$P$63)+((AP11^2+AQ11^2)*P132))/(100*$C$9)</f>
        <v>0.2281199357375</v>
      </c>
    </row>
    <row r="62" spans="1:43" s="433" customFormat="1" ht="16.5" hidden="1" customHeight="1" x14ac:dyDescent="0.25">
      <c r="A62" s="1359"/>
      <c r="B62" s="545" t="s">
        <v>2163</v>
      </c>
      <c r="C62" s="546">
        <v>31.8</v>
      </c>
      <c r="D62" s="547"/>
      <c r="E62" s="1361" t="s">
        <v>2164</v>
      </c>
      <c r="F62" s="1361"/>
      <c r="G62" s="548">
        <v>40.799999999999997</v>
      </c>
      <c r="H62" s="549"/>
      <c r="I62" s="550"/>
      <c r="J62" s="551"/>
      <c r="K62" s="629"/>
      <c r="L62" s="630"/>
      <c r="M62" s="631"/>
      <c r="N62" s="629"/>
      <c r="O62" s="630"/>
      <c r="P62" s="631"/>
      <c r="Q62" s="629"/>
      <c r="R62" s="630"/>
      <c r="S62" s="631"/>
      <c r="T62" s="1362"/>
      <c r="U62" s="1363"/>
      <c r="V62" s="1364"/>
      <c r="W62" s="1362"/>
      <c r="X62" s="1363"/>
      <c r="Y62" s="1364"/>
      <c r="Z62" s="1362"/>
      <c r="AA62" s="1363"/>
      <c r="AB62" s="1364"/>
      <c r="AC62" s="1362"/>
      <c r="AD62" s="1363"/>
      <c r="AE62" s="1364"/>
      <c r="AF62" s="1362"/>
      <c r="AG62" s="1363"/>
      <c r="AH62" s="1364"/>
      <c r="AI62" s="1362"/>
      <c r="AJ62" s="1363"/>
      <c r="AK62" s="1364"/>
      <c r="AL62" s="1362"/>
      <c r="AM62" s="1363"/>
      <c r="AN62" s="1364"/>
      <c r="AO62" s="1362"/>
      <c r="AP62" s="1363"/>
      <c r="AQ62" s="1364"/>
    </row>
    <row r="63" spans="1:43" s="433" customFormat="1" ht="16.5" hidden="1" customHeight="1" x14ac:dyDescent="0.25">
      <c r="A63" s="1359"/>
      <c r="B63" s="632" t="s">
        <v>2197</v>
      </c>
      <c r="C63" s="471">
        <v>134.19999999999999</v>
      </c>
      <c r="D63" s="473"/>
      <c r="E63" s="552"/>
      <c r="F63" s="552" t="s">
        <v>2198</v>
      </c>
      <c r="G63" s="469">
        <v>78.150000000000006</v>
      </c>
      <c r="H63" s="1438" t="s">
        <v>2165</v>
      </c>
      <c r="I63" s="1439"/>
      <c r="J63" s="553">
        <v>97.01</v>
      </c>
      <c r="K63" s="1438" t="s">
        <v>2199</v>
      </c>
      <c r="L63" s="1439"/>
      <c r="M63" s="553">
        <v>10.78</v>
      </c>
      <c r="N63" s="1438" t="s">
        <v>2200</v>
      </c>
      <c r="O63" s="1439"/>
      <c r="P63" s="553">
        <v>-0.5</v>
      </c>
      <c r="Q63" s="1438" t="s">
        <v>2166</v>
      </c>
      <c r="R63" s="1439"/>
      <c r="S63" s="553">
        <v>7.2</v>
      </c>
      <c r="T63" s="1365"/>
      <c r="U63" s="1366"/>
      <c r="V63" s="1367"/>
      <c r="W63" s="1365"/>
      <c r="X63" s="1366"/>
      <c r="Y63" s="1367"/>
      <c r="Z63" s="1365"/>
      <c r="AA63" s="1366"/>
      <c r="AB63" s="1367"/>
      <c r="AC63" s="1365"/>
      <c r="AD63" s="1366"/>
      <c r="AE63" s="1367"/>
      <c r="AF63" s="1365"/>
      <c r="AG63" s="1366"/>
      <c r="AH63" s="1367"/>
      <c r="AI63" s="1365"/>
      <c r="AJ63" s="1366"/>
      <c r="AK63" s="1367"/>
      <c r="AL63" s="1365"/>
      <c r="AM63" s="1366"/>
      <c r="AN63" s="1367"/>
      <c r="AO63" s="1365"/>
      <c r="AP63" s="1366"/>
      <c r="AQ63" s="1367"/>
    </row>
    <row r="64" spans="1:43" s="433" customFormat="1" ht="16.5" hidden="1" customHeight="1" x14ac:dyDescent="0.25">
      <c r="A64" s="1360"/>
      <c r="B64" s="1355" t="s">
        <v>2167</v>
      </c>
      <c r="C64" s="1356"/>
      <c r="D64" s="1356"/>
      <c r="E64" s="1356"/>
      <c r="F64" s="1356"/>
      <c r="G64" s="1357"/>
      <c r="H64" s="554">
        <f>I9</f>
        <v>5.2880000000000003</v>
      </c>
      <c r="I64" s="555" t="s">
        <v>2160</v>
      </c>
      <c r="J64" s="556">
        <f>J9</f>
        <v>1.423</v>
      </c>
      <c r="K64" s="554">
        <f>L9</f>
        <v>5.258</v>
      </c>
      <c r="L64" s="555" t="s">
        <v>2160</v>
      </c>
      <c r="M64" s="556">
        <f>M9</f>
        <v>1.405</v>
      </c>
      <c r="N64" s="554">
        <f>O9</f>
        <v>5.3680000000000003</v>
      </c>
      <c r="O64" s="555" t="s">
        <v>2160</v>
      </c>
      <c r="P64" s="556">
        <f>P9</f>
        <v>1.405</v>
      </c>
      <c r="Q64" s="554">
        <f>R9</f>
        <v>5.4390000000000001</v>
      </c>
      <c r="R64" s="555" t="s">
        <v>2160</v>
      </c>
      <c r="S64" s="556">
        <f>S9</f>
        <v>1.423</v>
      </c>
      <c r="T64" s="554">
        <f>U9</f>
        <v>5.8620000000000001</v>
      </c>
      <c r="U64" s="555" t="s">
        <v>2160</v>
      </c>
      <c r="V64" s="556">
        <f>V9</f>
        <v>1.458</v>
      </c>
      <c r="W64" s="554">
        <f>X9</f>
        <v>6.2949999999999999</v>
      </c>
      <c r="X64" s="555" t="s">
        <v>2160</v>
      </c>
      <c r="Y64" s="556">
        <f>Y9</f>
        <v>1.4910000000000001</v>
      </c>
      <c r="Z64" s="554">
        <f>AA9</f>
        <v>6.1440000000000001</v>
      </c>
      <c r="AA64" s="555" t="s">
        <v>2160</v>
      </c>
      <c r="AB64" s="556">
        <f>AB9</f>
        <v>1.5569999999999999</v>
      </c>
      <c r="AC64" s="554">
        <f>AD9</f>
        <v>6.63</v>
      </c>
      <c r="AD64" s="555" t="s">
        <v>2160</v>
      </c>
      <c r="AE64" s="556">
        <f>AE9</f>
        <v>1.6890000000000001</v>
      </c>
      <c r="AF64" s="554">
        <f>AG9</f>
        <v>6.0940000000000003</v>
      </c>
      <c r="AG64" s="555" t="s">
        <v>2160</v>
      </c>
      <c r="AH64" s="556">
        <f>AH9</f>
        <v>1.3380000000000001</v>
      </c>
      <c r="AI64" s="554">
        <f>AJ9</f>
        <v>5.8920000000000003</v>
      </c>
      <c r="AJ64" s="555" t="s">
        <v>2160</v>
      </c>
      <c r="AK64" s="556">
        <f>AK9</f>
        <v>1.32</v>
      </c>
      <c r="AL64" s="554">
        <f>AM9</f>
        <v>5.7409999999999997</v>
      </c>
      <c r="AM64" s="555" t="s">
        <v>2160</v>
      </c>
      <c r="AN64" s="556">
        <f>AN9</f>
        <v>1.3089999999999999</v>
      </c>
      <c r="AO64" s="554">
        <f>AP9</f>
        <v>5.6909999999999998</v>
      </c>
      <c r="AP64" s="555" t="s">
        <v>2160</v>
      </c>
      <c r="AQ64" s="556">
        <f>AQ9</f>
        <v>1.22</v>
      </c>
    </row>
    <row r="65" spans="1:81" s="433" customFormat="1" ht="16.5" hidden="1" customHeight="1" x14ac:dyDescent="0.25">
      <c r="A65" s="1358" t="s">
        <v>16</v>
      </c>
      <c r="B65" s="533" t="s">
        <v>2158</v>
      </c>
      <c r="C65" s="534"/>
      <c r="D65" s="534" t="s">
        <v>2159</v>
      </c>
      <c r="E65" s="534"/>
      <c r="F65" s="534"/>
      <c r="G65" s="534"/>
      <c r="H65" s="536">
        <f>$C$67/1000</f>
        <v>3.2500000000000001E-2</v>
      </c>
      <c r="I65" s="537" t="s">
        <v>2160</v>
      </c>
      <c r="J65" s="538">
        <f>$G$67/1000</f>
        <v>4.6399999999999997E-2</v>
      </c>
      <c r="K65" s="536">
        <f>$C$67/1000</f>
        <v>3.2500000000000001E-2</v>
      </c>
      <c r="L65" s="537" t="s">
        <v>2160</v>
      </c>
      <c r="M65" s="538">
        <f>$G$67/1000</f>
        <v>4.6399999999999997E-2</v>
      </c>
      <c r="N65" s="536">
        <f>$C$67/1000</f>
        <v>3.2500000000000001E-2</v>
      </c>
      <c r="O65" s="537" t="s">
        <v>2160</v>
      </c>
      <c r="P65" s="538">
        <f>$G$67/1000</f>
        <v>4.6399999999999997E-2</v>
      </c>
      <c r="Q65" s="536">
        <f>$C$67/1000</f>
        <v>3.2500000000000001E-2</v>
      </c>
      <c r="R65" s="537" t="s">
        <v>2160</v>
      </c>
      <c r="S65" s="538">
        <f>$G$67/1000</f>
        <v>4.6399999999999997E-2</v>
      </c>
      <c r="T65" s="536">
        <f>$C$67/1000</f>
        <v>3.2500000000000001E-2</v>
      </c>
      <c r="U65" s="537" t="s">
        <v>2160</v>
      </c>
      <c r="V65" s="538">
        <f>$G$67/1000</f>
        <v>4.6399999999999997E-2</v>
      </c>
      <c r="W65" s="536">
        <f>$C$67/1000</f>
        <v>3.2500000000000001E-2</v>
      </c>
      <c r="X65" s="537" t="s">
        <v>2160</v>
      </c>
      <c r="Y65" s="538">
        <f>$G$67/1000</f>
        <v>4.6399999999999997E-2</v>
      </c>
      <c r="Z65" s="536">
        <f>$C$67/1000</f>
        <v>3.2500000000000001E-2</v>
      </c>
      <c r="AA65" s="537" t="s">
        <v>2160</v>
      </c>
      <c r="AB65" s="538">
        <f>$G$67/1000</f>
        <v>4.6399999999999997E-2</v>
      </c>
      <c r="AC65" s="536">
        <f>$C$67/1000</f>
        <v>3.2500000000000001E-2</v>
      </c>
      <c r="AD65" s="537" t="s">
        <v>2160</v>
      </c>
      <c r="AE65" s="538">
        <f>$G$67/1000</f>
        <v>4.6399999999999997E-2</v>
      </c>
      <c r="AF65" s="536">
        <f>$C$67/1000</f>
        <v>3.2500000000000001E-2</v>
      </c>
      <c r="AG65" s="537" t="s">
        <v>2160</v>
      </c>
      <c r="AH65" s="538">
        <f>$G$67/1000</f>
        <v>4.6399999999999997E-2</v>
      </c>
      <c r="AI65" s="536">
        <f>$C$67/1000</f>
        <v>3.2500000000000001E-2</v>
      </c>
      <c r="AJ65" s="537" t="s">
        <v>2160</v>
      </c>
      <c r="AK65" s="538">
        <f>$G$67/1000</f>
        <v>4.6399999999999997E-2</v>
      </c>
      <c r="AL65" s="536">
        <f>$C$67/1000</f>
        <v>3.2500000000000001E-2</v>
      </c>
      <c r="AM65" s="537" t="s">
        <v>2160</v>
      </c>
      <c r="AN65" s="538">
        <f>$G$67/1000</f>
        <v>4.6399999999999997E-2</v>
      </c>
      <c r="AO65" s="536">
        <f>$C$67/1000</f>
        <v>3.2500000000000001E-2</v>
      </c>
      <c r="AP65" s="537" t="s">
        <v>2160</v>
      </c>
      <c r="AQ65" s="538">
        <f>$G$67/1000</f>
        <v>4.6399999999999997E-2</v>
      </c>
    </row>
    <row r="66" spans="1:81" s="433" customFormat="1" ht="16.5" hidden="1" customHeight="1" x14ac:dyDescent="0.25">
      <c r="A66" s="1359"/>
      <c r="B66" s="539" t="s">
        <v>2161</v>
      </c>
      <c r="C66" s="540"/>
      <c r="D66" s="540" t="s">
        <v>2162</v>
      </c>
      <c r="E66" s="540"/>
      <c r="F66" s="540"/>
      <c r="G66" s="557"/>
      <c r="H66" s="542">
        <f>(((I9^2+J9^2)*$C$68/1000)+((I10^2+J10^2)*$G$68/1000)+((I11^2+J11^2)*$J$68/1000))/$C$9*$C$9</f>
        <v>6.5960644005162203</v>
      </c>
      <c r="I66" s="543" t="s">
        <v>2160</v>
      </c>
      <c r="J66" s="544">
        <f>(((I17^2+J17^2)*$M$68)+((I18^2+J18^2)*$P$68)+((I19^2+J19^2)*S68))/(100*$C$9)</f>
        <v>0.20227052510250765</v>
      </c>
      <c r="K66" s="542">
        <f>(((L9^2+M9^2)*$C$68/1000)+((L10^2+M10^2)*$G$68/1000)+((L11^2+M11^2)*$J$68/1000))/$C$9*$C$9</f>
        <v>6.5326108033383772</v>
      </c>
      <c r="L66" s="543" t="s">
        <v>2160</v>
      </c>
      <c r="M66" s="544">
        <f>(((L17^2+M17^2)*$M$68)+((L18^2+M18^2)*$P$68)+((L19^2+M19^2)*V68))/(100*$C$9)</f>
        <v>0.14560726939999999</v>
      </c>
      <c r="N66" s="542">
        <f>(((O9^2+P9^2)*$C$68/1000)+((O10^2+P10^2)*$G$68/1000)+((O11^2+P11^2)*$J$68/1000))/$C$9*$C$9</f>
        <v>6.7864640713383775</v>
      </c>
      <c r="O66" s="543" t="s">
        <v>2160</v>
      </c>
      <c r="P66" s="544">
        <f>(((O17^2+P17^2)*$M$68)+((O18^2+P18^2)*$P$68)+((O19^2+P19^2)*Y68))/(100*$C$9)</f>
        <v>0.14844635875000001</v>
      </c>
      <c r="Q66" s="542">
        <f>(((R9^2+S9^2)*$C$68/1000)+((R10^2+S10^2)*$G$68/1000)+((R11^2+S11^2)*$J$68/1000))/$C$9*$C$9</f>
        <v>6.9439639543162208</v>
      </c>
      <c r="R66" s="543" t="s">
        <v>2160</v>
      </c>
      <c r="S66" s="544">
        <f>(((R17^2+S17^2)*$M$68)+((R18^2+S18^2)*$P$68)+((R19^2+S19^2)*AB68))/(100*$C$9)</f>
        <v>0.15655976297500002</v>
      </c>
      <c r="T66" s="542">
        <f>(((U9^2+V9^2)*$C$68/1000)+((U10^2+V10^2)*$G$68/1000)+((U11^2+V11^2)*$J$68/1000))/$C$9*$C$9</f>
        <v>8.0453214939832787</v>
      </c>
      <c r="U66" s="543" t="s">
        <v>2160</v>
      </c>
      <c r="V66" s="544">
        <f>(((U17^2+V17^2)*$M$68)+((U18^2+V18^2)*$P$68)+((U19^2+V19^2)*AE68))/(100*$C$9)</f>
        <v>0.17782623009999998</v>
      </c>
      <c r="W66" s="542">
        <f>(((X9^2+Y9^2)*$C$68/1000)+((X10^2+Y10^2)*$G$68/1000)+((X11^2+Y11^2)*$J$68/1000))/$C$9*$C$9</f>
        <v>9.2356070634192022</v>
      </c>
      <c r="X66" s="543" t="s">
        <v>2160</v>
      </c>
      <c r="Y66" s="544">
        <f>(((X17^2+Y17^2)*$M$68)+((X18^2+Y18^2)*$P$68)+((X19^2+Y19^2)*AH68))/(100*$C$9)</f>
        <v>0.20636327055000003</v>
      </c>
      <c r="Z66" s="542">
        <f>(((AA9^2+AB9^2)*$C$68/1000)+((AA10^2+AB10^2)*$G$68/1000)+((AA11^2+AB11^2)*$J$68/1000))/$C$9*$C$9</f>
        <v>8.8510726043754762</v>
      </c>
      <c r="AA66" s="543" t="s">
        <v>2160</v>
      </c>
      <c r="AB66" s="544">
        <f>(((AA17^2+AB17^2)*$M$68)+((AA18^2+AB18^2)*$P$68)+((AA19^2+AB19^2)*AK68))/(100*$C$9)</f>
        <v>0.20454187089999998</v>
      </c>
      <c r="AC66" s="542">
        <f>(((AD9^2+AE9^2)*$C$68/1000)+((AD10^2+AE10^2)*$G$68/1000)+((AD11^2+AE11^2)*$J$68/1000))/$C$9*$C$9</f>
        <v>10.443409496907222</v>
      </c>
      <c r="AD66" s="543" t="s">
        <v>2160</v>
      </c>
      <c r="AE66" s="544">
        <f>(((AD17^2+AE17^2)*$M$68)+((AD18^2+AE18^2)*$P$68)+((AD19^2+AE19^2)*AN68))/(100*$C$9)</f>
        <v>0.24048024437499996</v>
      </c>
      <c r="AF66" s="542">
        <f>(((AG9^2+AH9^2)*$C$68/1000)+((AG10^2+AH10^2)*$G$68/1000)+((AG11^2+AH11^2)*$J$68/1000))/$C$9*$C$9</f>
        <v>8.6296295716180236</v>
      </c>
      <c r="AG66" s="543" t="s">
        <v>2160</v>
      </c>
      <c r="AH66" s="544">
        <f>(((AG17^2+AH17^2)*$M$68)+((AG18^2+AH18^2)*$P$68)+((AG19^2+AH19^2)*AQ68))/(100*$C$9)</f>
        <v>0.18790603094999997</v>
      </c>
      <c r="AI66" s="542">
        <f>(((AJ9^2+AK9^2)*$C$68/1000)+((AJ10^2+AK10^2)*$G$68/1000)+((AJ11^2+AK11^2)*$J$68/1000))/$C$9*$C$9</f>
        <v>8.1009146253966673</v>
      </c>
      <c r="AJ66" s="543" t="s">
        <v>2160</v>
      </c>
      <c r="AK66" s="544">
        <f>(((AJ17^2+AK17^2)*$M$68)+((AJ18^2+AK18^2)*$P$68)+((AJ19^2+AK19^2)*J137))/(100*$C$9)</f>
        <v>0.18201803500000005</v>
      </c>
      <c r="AL66" s="542">
        <f>(((AM9^2+AN9^2)*$C$68/1000)+((AM10^2+AN10^2)*$G$68/1000)+((AM11^2+AN11^2)*$J$68/1000))/$C$9*$C$9</f>
        <v>7.7410625881279991</v>
      </c>
      <c r="AM66" s="543" t="s">
        <v>2160</v>
      </c>
      <c r="AN66" s="544">
        <f>(((AM17^2+AN17^2)*$M$68)+((AM18^2+AN18^2)*$P$68)+((AM19^2+AN19^2)*M137))/(100*$C$9)</f>
        <v>0.17943071329999999</v>
      </c>
      <c r="AO66" s="542">
        <f>(((AP9^2+AQ9^2)*$C$68/1000)+((AP10^2+AQ10^2)*$G$68/1000)+((AP11^2+AQ11^2)*$J$68/1000))/$C$9*$C$9</f>
        <v>7.5599390623999998</v>
      </c>
      <c r="AP66" s="543" t="s">
        <v>2160</v>
      </c>
      <c r="AQ66" s="544">
        <f>(((AP17^2+AQ17^2)*$M$68)+((AP18^2+AQ18^2)*$P$68)+((AP19^2+AQ19^2)*P137))/(100*$C$9)</f>
        <v>0.167078740675</v>
      </c>
    </row>
    <row r="67" spans="1:81" s="433" customFormat="1" ht="16.5" hidden="1" customHeight="1" x14ac:dyDescent="0.25">
      <c r="A67" s="1359"/>
      <c r="B67" s="545" t="s">
        <v>2163</v>
      </c>
      <c r="C67" s="546">
        <v>32.5</v>
      </c>
      <c r="D67" s="547"/>
      <c r="E67" s="1361" t="s">
        <v>2164</v>
      </c>
      <c r="F67" s="1361"/>
      <c r="G67" s="548">
        <v>46.4</v>
      </c>
      <c r="H67" s="549"/>
      <c r="I67" s="550"/>
      <c r="J67" s="551"/>
      <c r="K67" s="629"/>
      <c r="L67" s="630"/>
      <c r="M67" s="631"/>
      <c r="N67" s="629"/>
      <c r="O67" s="630"/>
      <c r="P67" s="631"/>
      <c r="Q67" s="629"/>
      <c r="R67" s="630"/>
      <c r="S67" s="631"/>
      <c r="T67" s="1349"/>
      <c r="U67" s="1350"/>
      <c r="V67" s="1351"/>
      <c r="W67" s="1349"/>
      <c r="X67" s="1350"/>
      <c r="Y67" s="1351"/>
      <c r="Z67" s="1349"/>
      <c r="AA67" s="1350"/>
      <c r="AB67" s="1351"/>
      <c r="AC67" s="1349"/>
      <c r="AD67" s="1350"/>
      <c r="AE67" s="1351"/>
      <c r="AF67" s="1349"/>
      <c r="AG67" s="1350"/>
      <c r="AH67" s="1351"/>
      <c r="AI67" s="1349"/>
      <c r="AJ67" s="1350"/>
      <c r="AK67" s="1351"/>
      <c r="AL67" s="1349"/>
      <c r="AM67" s="1350"/>
      <c r="AN67" s="1351"/>
      <c r="AO67" s="1349"/>
      <c r="AP67" s="1350"/>
      <c r="AQ67" s="1351"/>
    </row>
    <row r="68" spans="1:81" s="433" customFormat="1" ht="16.5" hidden="1" customHeight="1" x14ac:dyDescent="0.25">
      <c r="A68" s="1359"/>
      <c r="B68" s="632" t="s">
        <v>2197</v>
      </c>
      <c r="C68" s="471">
        <v>136.4</v>
      </c>
      <c r="D68" s="473"/>
      <c r="E68" s="552"/>
      <c r="F68" s="552" t="s">
        <v>2198</v>
      </c>
      <c r="G68" s="469">
        <v>70.67</v>
      </c>
      <c r="H68" s="1438" t="s">
        <v>2165</v>
      </c>
      <c r="I68" s="1439"/>
      <c r="J68" s="553">
        <v>110.8</v>
      </c>
      <c r="K68" s="1438" t="s">
        <v>2199</v>
      </c>
      <c r="L68" s="1439"/>
      <c r="M68" s="553">
        <v>10.68</v>
      </c>
      <c r="N68" s="1438" t="s">
        <v>2200</v>
      </c>
      <c r="O68" s="1439"/>
      <c r="P68" s="553">
        <v>-0.4</v>
      </c>
      <c r="Q68" s="1438" t="s">
        <v>2166</v>
      </c>
      <c r="R68" s="1439"/>
      <c r="S68" s="553">
        <v>7</v>
      </c>
      <c r="T68" s="1352"/>
      <c r="U68" s="1353"/>
      <c r="V68" s="1354"/>
      <c r="W68" s="1352"/>
      <c r="X68" s="1353"/>
      <c r="Y68" s="1354"/>
      <c r="Z68" s="1352"/>
      <c r="AA68" s="1353"/>
      <c r="AB68" s="1354"/>
      <c r="AC68" s="1352"/>
      <c r="AD68" s="1353"/>
      <c r="AE68" s="1354"/>
      <c r="AF68" s="1352"/>
      <c r="AG68" s="1353"/>
      <c r="AH68" s="1354"/>
      <c r="AI68" s="1352"/>
      <c r="AJ68" s="1353"/>
      <c r="AK68" s="1354"/>
      <c r="AL68" s="1352"/>
      <c r="AM68" s="1353"/>
      <c r="AN68" s="1354"/>
      <c r="AO68" s="1352"/>
      <c r="AP68" s="1353"/>
      <c r="AQ68" s="1354"/>
    </row>
    <row r="69" spans="1:81" s="633" customFormat="1" ht="16.5" hidden="1" customHeight="1" x14ac:dyDescent="0.25">
      <c r="A69" s="1360"/>
      <c r="B69" s="1355" t="s">
        <v>2167</v>
      </c>
      <c r="C69" s="1356"/>
      <c r="D69" s="1356"/>
      <c r="E69" s="1356"/>
      <c r="F69" s="1356"/>
      <c r="G69" s="1357"/>
      <c r="H69" s="563">
        <f>I17</f>
        <v>4.5529999999999999</v>
      </c>
      <c r="I69" s="564" t="s">
        <v>2160</v>
      </c>
      <c r="J69" s="565">
        <f>J17</f>
        <v>1.1599999999999999</v>
      </c>
      <c r="K69" s="563">
        <f>L17</f>
        <v>4.532</v>
      </c>
      <c r="L69" s="564" t="s">
        <v>2160</v>
      </c>
      <c r="M69" s="565">
        <f>M17</f>
        <v>1.1479999999999999</v>
      </c>
      <c r="N69" s="563">
        <f>O17</f>
        <v>4.5830000000000002</v>
      </c>
      <c r="O69" s="564" t="s">
        <v>2160</v>
      </c>
      <c r="P69" s="565">
        <f>P17</f>
        <v>1.131</v>
      </c>
      <c r="Q69" s="563">
        <f>R17</f>
        <v>4.7140000000000004</v>
      </c>
      <c r="R69" s="564" t="s">
        <v>2160</v>
      </c>
      <c r="S69" s="565">
        <f>S17</f>
        <v>1.131</v>
      </c>
      <c r="T69" s="563">
        <f>U17</f>
        <v>5.0359999999999996</v>
      </c>
      <c r="U69" s="564" t="s">
        <v>2160</v>
      </c>
      <c r="V69" s="565">
        <f>V17</f>
        <v>1.1539999999999999</v>
      </c>
      <c r="W69" s="563">
        <f>X17</f>
        <v>5.4290000000000003</v>
      </c>
      <c r="X69" s="564" t="s">
        <v>2160</v>
      </c>
      <c r="Y69" s="565">
        <f>Y17</f>
        <v>1.2250000000000001</v>
      </c>
      <c r="Z69" s="563">
        <f>AA17</f>
        <v>5.3780000000000001</v>
      </c>
      <c r="AA69" s="564" t="s">
        <v>2160</v>
      </c>
      <c r="AB69" s="565">
        <f>AB17</f>
        <v>1.3320000000000001</v>
      </c>
      <c r="AC69" s="563">
        <f>AD17</f>
        <v>5.7939999999999996</v>
      </c>
      <c r="AD69" s="564" t="s">
        <v>2160</v>
      </c>
      <c r="AE69" s="565">
        <f>AE17</f>
        <v>1.583</v>
      </c>
      <c r="AF69" s="563">
        <f>AG17</f>
        <v>5.1669999999999998</v>
      </c>
      <c r="AG69" s="564" t="s">
        <v>2160</v>
      </c>
      <c r="AH69" s="565">
        <f>AH17</f>
        <v>1.2250000000000001</v>
      </c>
      <c r="AI69" s="563">
        <f>AJ17</f>
        <v>5.0860000000000003</v>
      </c>
      <c r="AJ69" s="564" t="s">
        <v>2160</v>
      </c>
      <c r="AK69" s="565">
        <f>AK17</f>
        <v>1.202</v>
      </c>
      <c r="AL69" s="563">
        <f>AM17</f>
        <v>5.0359999999999996</v>
      </c>
      <c r="AM69" s="564" t="s">
        <v>2160</v>
      </c>
      <c r="AN69" s="565">
        <f>AN17</f>
        <v>1.25</v>
      </c>
      <c r="AO69" s="563">
        <f>AP17</f>
        <v>4.8650000000000002</v>
      </c>
      <c r="AP69" s="564" t="s">
        <v>2160</v>
      </c>
      <c r="AQ69" s="565">
        <f>AQ17</f>
        <v>1.1839999999999999</v>
      </c>
      <c r="CC69" s="634"/>
    </row>
    <row r="70" spans="1:81" s="433" customFormat="1" ht="16.5" hidden="1" customHeight="1" x14ac:dyDescent="0.25">
      <c r="A70" s="1346" t="s">
        <v>2168</v>
      </c>
      <c r="B70" s="1347"/>
      <c r="C70" s="1347"/>
      <c r="D70" s="1347"/>
      <c r="E70" s="1347"/>
      <c r="F70" s="1347"/>
      <c r="G70" s="1348"/>
      <c r="H70" s="568"/>
      <c r="I70" s="569"/>
      <c r="J70" s="551"/>
      <c r="K70" s="568"/>
      <c r="L70" s="569"/>
      <c r="M70" s="551"/>
      <c r="N70" s="568"/>
      <c r="O70" s="569"/>
      <c r="P70" s="551"/>
      <c r="Q70" s="568"/>
      <c r="R70" s="569"/>
      <c r="S70" s="551"/>
      <c r="T70" s="568"/>
      <c r="U70" s="569"/>
      <c r="V70" s="551"/>
      <c r="W70" s="568"/>
      <c r="X70" s="569"/>
      <c r="Y70" s="551"/>
      <c r="Z70" s="568"/>
      <c r="AA70" s="569"/>
      <c r="AB70" s="551"/>
      <c r="AC70" s="568"/>
      <c r="AD70" s="569"/>
      <c r="AE70" s="551"/>
      <c r="AF70" s="568"/>
      <c r="AG70" s="569"/>
      <c r="AH70" s="551"/>
      <c r="AI70" s="568"/>
      <c r="AJ70" s="569"/>
      <c r="AK70" s="551"/>
      <c r="AL70" s="568"/>
      <c r="AM70" s="569"/>
      <c r="AN70" s="551"/>
      <c r="AO70" s="568"/>
      <c r="AP70" s="569"/>
      <c r="AQ70" s="551"/>
    </row>
    <row r="71" spans="1:81" s="433" customFormat="1" ht="16.5" hidden="1" customHeight="1" x14ac:dyDescent="0.25">
      <c r="A71" s="570" t="s">
        <v>2169</v>
      </c>
      <c r="B71" s="571"/>
      <c r="C71" s="572"/>
      <c r="D71" s="571"/>
      <c r="E71" s="473"/>
      <c r="F71" s="571" t="s">
        <v>2170</v>
      </c>
      <c r="G71" s="472"/>
      <c r="H71" s="573">
        <f>SUM(H64,H69)</f>
        <v>9.8410000000000011</v>
      </c>
      <c r="I71" s="574" t="s">
        <v>2160</v>
      </c>
      <c r="J71" s="575">
        <f>SUM(J64,J69)</f>
        <v>2.5830000000000002</v>
      </c>
      <c r="K71" s="573">
        <f>SUM(K64,K69)</f>
        <v>9.7899999999999991</v>
      </c>
      <c r="L71" s="574" t="s">
        <v>2160</v>
      </c>
      <c r="M71" s="575">
        <f>SUM(M64,M69)</f>
        <v>2.5529999999999999</v>
      </c>
      <c r="N71" s="573">
        <f>SUM(N64,N69)</f>
        <v>9.9510000000000005</v>
      </c>
      <c r="O71" s="574" t="s">
        <v>2160</v>
      </c>
      <c r="P71" s="575">
        <f>SUM(P64,P69)</f>
        <v>2.536</v>
      </c>
      <c r="Q71" s="573">
        <f>SUM(Q64,Q69)</f>
        <v>10.153</v>
      </c>
      <c r="R71" s="574" t="s">
        <v>2160</v>
      </c>
      <c r="S71" s="575">
        <f>SUM(S64,S69)</f>
        <v>2.5540000000000003</v>
      </c>
      <c r="T71" s="573">
        <f>SUM(T64,T69)</f>
        <v>10.898</v>
      </c>
      <c r="U71" s="574" t="s">
        <v>2160</v>
      </c>
      <c r="V71" s="575">
        <f>SUM(V64,V69)</f>
        <v>2.6120000000000001</v>
      </c>
      <c r="W71" s="573">
        <f>SUM(W64,W69)</f>
        <v>11.724</v>
      </c>
      <c r="X71" s="574" t="s">
        <v>2160</v>
      </c>
      <c r="Y71" s="575">
        <f>SUM(Y64,Y69)</f>
        <v>2.7160000000000002</v>
      </c>
      <c r="Z71" s="573">
        <f>SUM(Z64,Z69)</f>
        <v>11.522</v>
      </c>
      <c r="AA71" s="574" t="s">
        <v>2160</v>
      </c>
      <c r="AB71" s="575">
        <f>SUM(AB64,AB69)</f>
        <v>2.8890000000000002</v>
      </c>
      <c r="AC71" s="573">
        <f>SUM(AC64,AC69)</f>
        <v>12.423999999999999</v>
      </c>
      <c r="AD71" s="574" t="s">
        <v>2160</v>
      </c>
      <c r="AE71" s="575">
        <f>SUM(AE64,AE69)</f>
        <v>3.2720000000000002</v>
      </c>
      <c r="AF71" s="573">
        <f>SUM(AF64,AF69)</f>
        <v>11.260999999999999</v>
      </c>
      <c r="AG71" s="574" t="s">
        <v>2160</v>
      </c>
      <c r="AH71" s="575">
        <f>SUM(AH64,AH69)</f>
        <v>2.5630000000000002</v>
      </c>
      <c r="AI71" s="573">
        <f>SUM(AI64,AI69)</f>
        <v>10.978000000000002</v>
      </c>
      <c r="AJ71" s="574" t="s">
        <v>2160</v>
      </c>
      <c r="AK71" s="575">
        <f>SUM(AK64,AK69)</f>
        <v>2.5220000000000002</v>
      </c>
      <c r="AL71" s="573">
        <f>SUM(AL64,AL69)</f>
        <v>10.776999999999999</v>
      </c>
      <c r="AM71" s="574" t="s">
        <v>2160</v>
      </c>
      <c r="AN71" s="575">
        <f>SUM(AN64,AN69)</f>
        <v>2.5590000000000002</v>
      </c>
      <c r="AO71" s="573">
        <f>SUM(AO64,AO69)</f>
        <v>10.556000000000001</v>
      </c>
      <c r="AP71" s="574" t="s">
        <v>2160</v>
      </c>
      <c r="AQ71" s="575">
        <f>SUM(AQ64,AQ69)</f>
        <v>2.4039999999999999</v>
      </c>
    </row>
    <row r="72" spans="1:81" s="433" customFormat="1" ht="16.5" hidden="1" customHeight="1" x14ac:dyDescent="0.25">
      <c r="A72" s="576" t="s">
        <v>2171</v>
      </c>
      <c r="B72" s="633"/>
      <c r="C72" s="633"/>
      <c r="D72" s="633"/>
      <c r="E72" s="633"/>
      <c r="F72" s="633"/>
      <c r="G72" s="633"/>
      <c r="H72" s="633"/>
      <c r="I72" s="635">
        <f>J71/H71</f>
        <v>0.26247332588151612</v>
      </c>
      <c r="J72" s="633"/>
      <c r="K72" s="633"/>
      <c r="L72" s="635">
        <f>M71/K71</f>
        <v>0.26077630234933608</v>
      </c>
      <c r="M72" s="633"/>
      <c r="N72" s="633"/>
      <c r="O72" s="635">
        <f>P71/N71</f>
        <v>0.25484875891870162</v>
      </c>
      <c r="P72" s="633"/>
      <c r="Q72" s="633"/>
      <c r="R72" s="635">
        <f>S71/Q71</f>
        <v>0.25155126563577268</v>
      </c>
      <c r="S72" s="633"/>
      <c r="T72" s="633"/>
      <c r="U72" s="635">
        <f>V71/T71</f>
        <v>0.23967700495503763</v>
      </c>
      <c r="V72" s="633"/>
      <c r="W72" s="633"/>
      <c r="X72" s="635">
        <f>Y71/W71</f>
        <v>0.23166154895939953</v>
      </c>
      <c r="Y72" s="633"/>
      <c r="Z72" s="633"/>
      <c r="AA72" s="635">
        <f>AB71/Z71</f>
        <v>0.25073771914598164</v>
      </c>
      <c r="AB72" s="633"/>
      <c r="AC72" s="633"/>
      <c r="AD72" s="635">
        <f>AE71/AC71</f>
        <v>0.26336123631680619</v>
      </c>
      <c r="AE72" s="633"/>
      <c r="AF72" s="633"/>
      <c r="AG72" s="635">
        <f>AH71/AF71</f>
        <v>0.22759968031258329</v>
      </c>
      <c r="AH72" s="633"/>
      <c r="AI72" s="633"/>
      <c r="AJ72" s="635">
        <f>AK71/AI71</f>
        <v>0.22973219165603934</v>
      </c>
      <c r="AK72" s="633"/>
      <c r="AL72" s="633"/>
      <c r="AM72" s="635">
        <f>AN71/AL71</f>
        <v>0.23745012526677187</v>
      </c>
      <c r="AN72" s="633"/>
      <c r="AO72" s="633"/>
      <c r="AP72" s="635">
        <f>AQ71/AO71</f>
        <v>0.22773777946191737</v>
      </c>
      <c r="AQ72" s="633"/>
    </row>
    <row r="73" spans="1:81" s="578" customFormat="1" ht="16.5" hidden="1" customHeight="1" x14ac:dyDescent="0.25">
      <c r="A73" s="576" t="s">
        <v>2172</v>
      </c>
      <c r="B73" s="576"/>
      <c r="C73" s="576"/>
      <c r="D73" s="576"/>
      <c r="E73" s="576"/>
      <c r="F73" s="576"/>
      <c r="T73" s="636"/>
      <c r="U73" s="637"/>
    </row>
    <row r="74" spans="1:81" s="578" customFormat="1" ht="31.5" customHeight="1" thickBot="1" x14ac:dyDescent="0.3">
      <c r="B74" s="638"/>
      <c r="C74" s="638"/>
      <c r="D74" s="638"/>
      <c r="E74" s="638"/>
      <c r="F74" s="638"/>
      <c r="T74" s="636"/>
      <c r="U74" s="637"/>
    </row>
    <row r="75" spans="1:81" s="581" customFormat="1" ht="17.25" thickBot="1" x14ac:dyDescent="0.3">
      <c r="A75" s="1435" t="s">
        <v>2</v>
      </c>
      <c r="B75" s="1436"/>
      <c r="C75" s="1436"/>
      <c r="D75" s="1436"/>
      <c r="E75" s="1436"/>
      <c r="F75" s="1436"/>
      <c r="G75" s="1437"/>
      <c r="H75" s="1420" t="s">
        <v>112</v>
      </c>
      <c r="I75" s="1421"/>
      <c r="J75" s="1422"/>
      <c r="K75" s="1420" t="s">
        <v>113</v>
      </c>
      <c r="L75" s="1421"/>
      <c r="M75" s="1422"/>
      <c r="N75" s="1420" t="s">
        <v>114</v>
      </c>
      <c r="O75" s="1421"/>
      <c r="P75" s="1422"/>
      <c r="Q75" s="1420" t="s">
        <v>115</v>
      </c>
      <c r="R75" s="1421"/>
      <c r="S75" s="1422"/>
      <c r="T75" s="1420" t="s">
        <v>116</v>
      </c>
      <c r="U75" s="1421"/>
      <c r="V75" s="1422"/>
      <c r="W75" s="1420" t="s">
        <v>117</v>
      </c>
      <c r="X75" s="1421"/>
      <c r="Y75" s="1422"/>
      <c r="Z75" s="1420" t="s">
        <v>118</v>
      </c>
      <c r="AA75" s="1421"/>
      <c r="AB75" s="1422"/>
      <c r="AC75" s="1420" t="s">
        <v>119</v>
      </c>
      <c r="AD75" s="1421"/>
      <c r="AE75" s="1422"/>
      <c r="AF75" s="1420" t="s">
        <v>120</v>
      </c>
      <c r="AG75" s="1421"/>
      <c r="AH75" s="1422"/>
      <c r="AI75" s="1420" t="s">
        <v>121</v>
      </c>
      <c r="AJ75" s="1421"/>
      <c r="AK75" s="1422"/>
      <c r="AL75" s="1420" t="s">
        <v>122</v>
      </c>
      <c r="AM75" s="1421"/>
      <c r="AN75" s="1422"/>
      <c r="AO75" s="1420" t="s">
        <v>5</v>
      </c>
      <c r="AP75" s="1421"/>
      <c r="AQ75" s="1422"/>
      <c r="AS75" s="583"/>
      <c r="AV75" s="583"/>
      <c r="AY75" s="583"/>
      <c r="BB75" s="583"/>
      <c r="BE75" s="583"/>
      <c r="BH75" s="583"/>
      <c r="BK75" s="583"/>
      <c r="BN75" s="583"/>
      <c r="BQ75" s="583"/>
      <c r="BT75" s="583"/>
      <c r="BW75" s="583"/>
      <c r="BZ75" s="583"/>
    </row>
    <row r="76" spans="1:81" s="581" customFormat="1" ht="16.5" x14ac:dyDescent="0.25">
      <c r="A76" s="1423" t="s">
        <v>2122</v>
      </c>
      <c r="B76" s="1424"/>
      <c r="C76" s="1427" t="s">
        <v>2123</v>
      </c>
      <c r="D76" s="639"/>
      <c r="E76" s="640"/>
      <c r="F76" s="640"/>
      <c r="G76" s="641"/>
      <c r="H76" s="447" t="s">
        <v>2124</v>
      </c>
      <c r="I76" s="448" t="s">
        <v>2125</v>
      </c>
      <c r="J76" s="449" t="s">
        <v>2126</v>
      </c>
      <c r="K76" s="447" t="s">
        <v>2124</v>
      </c>
      <c r="L76" s="448" t="s">
        <v>2125</v>
      </c>
      <c r="M76" s="449" t="s">
        <v>2126</v>
      </c>
      <c r="N76" s="447" t="s">
        <v>2124</v>
      </c>
      <c r="O76" s="448" t="s">
        <v>2125</v>
      </c>
      <c r="P76" s="449" t="s">
        <v>2126</v>
      </c>
      <c r="Q76" s="447" t="s">
        <v>2124</v>
      </c>
      <c r="R76" s="448" t="s">
        <v>2125</v>
      </c>
      <c r="S76" s="449" t="s">
        <v>2126</v>
      </c>
      <c r="T76" s="447" t="s">
        <v>2124</v>
      </c>
      <c r="U76" s="448" t="s">
        <v>2125</v>
      </c>
      <c r="V76" s="449" t="s">
        <v>2126</v>
      </c>
      <c r="W76" s="447" t="s">
        <v>2124</v>
      </c>
      <c r="X76" s="448" t="s">
        <v>2125</v>
      </c>
      <c r="Y76" s="449" t="s">
        <v>2126</v>
      </c>
      <c r="Z76" s="447" t="s">
        <v>2124</v>
      </c>
      <c r="AA76" s="448" t="s">
        <v>2125</v>
      </c>
      <c r="AB76" s="449" t="s">
        <v>2126</v>
      </c>
      <c r="AC76" s="447" t="s">
        <v>2124</v>
      </c>
      <c r="AD76" s="448" t="s">
        <v>2125</v>
      </c>
      <c r="AE76" s="449" t="s">
        <v>2126</v>
      </c>
      <c r="AF76" s="447" t="s">
        <v>2124</v>
      </c>
      <c r="AG76" s="448" t="s">
        <v>2125</v>
      </c>
      <c r="AH76" s="449" t="s">
        <v>2126</v>
      </c>
      <c r="AI76" s="447" t="s">
        <v>2124</v>
      </c>
      <c r="AJ76" s="448" t="s">
        <v>2125</v>
      </c>
      <c r="AK76" s="449" t="s">
        <v>2126</v>
      </c>
      <c r="AL76" s="447" t="s">
        <v>2124</v>
      </c>
      <c r="AM76" s="448" t="s">
        <v>2125</v>
      </c>
      <c r="AN76" s="449" t="s">
        <v>2126</v>
      </c>
      <c r="AO76" s="447" t="s">
        <v>2124</v>
      </c>
      <c r="AP76" s="448" t="s">
        <v>2125</v>
      </c>
      <c r="AQ76" s="449" t="s">
        <v>2126</v>
      </c>
    </row>
    <row r="77" spans="1:81" s="581" customFormat="1" ht="17.25" thickBot="1" x14ac:dyDescent="0.3">
      <c r="A77" s="1425"/>
      <c r="B77" s="1426"/>
      <c r="C77" s="1428"/>
      <c r="D77" s="642"/>
      <c r="E77" s="643"/>
      <c r="F77" s="643"/>
      <c r="G77" s="644"/>
      <c r="H77" s="450" t="s">
        <v>2127</v>
      </c>
      <c r="I77" s="451" t="s">
        <v>2128</v>
      </c>
      <c r="J77" s="452" t="s">
        <v>2129</v>
      </c>
      <c r="K77" s="450" t="s">
        <v>2127</v>
      </c>
      <c r="L77" s="451" t="s">
        <v>2128</v>
      </c>
      <c r="M77" s="452" t="s">
        <v>2129</v>
      </c>
      <c r="N77" s="450" t="s">
        <v>2127</v>
      </c>
      <c r="O77" s="451" t="s">
        <v>2128</v>
      </c>
      <c r="P77" s="452" t="s">
        <v>2129</v>
      </c>
      <c r="Q77" s="450" t="s">
        <v>2127</v>
      </c>
      <c r="R77" s="451" t="s">
        <v>2128</v>
      </c>
      <c r="S77" s="452" t="s">
        <v>2129</v>
      </c>
      <c r="T77" s="450" t="s">
        <v>2127</v>
      </c>
      <c r="U77" s="451" t="s">
        <v>2128</v>
      </c>
      <c r="V77" s="452" t="s">
        <v>2129</v>
      </c>
      <c r="W77" s="450" t="s">
        <v>2127</v>
      </c>
      <c r="X77" s="451" t="s">
        <v>2128</v>
      </c>
      <c r="Y77" s="452" t="s">
        <v>2129</v>
      </c>
      <c r="Z77" s="450" t="s">
        <v>2127</v>
      </c>
      <c r="AA77" s="451" t="s">
        <v>2128</v>
      </c>
      <c r="AB77" s="452" t="s">
        <v>2129</v>
      </c>
      <c r="AC77" s="450" t="s">
        <v>2127</v>
      </c>
      <c r="AD77" s="451" t="s">
        <v>2128</v>
      </c>
      <c r="AE77" s="452" t="s">
        <v>2129</v>
      </c>
      <c r="AF77" s="450" t="s">
        <v>2127</v>
      </c>
      <c r="AG77" s="451" t="s">
        <v>2128</v>
      </c>
      <c r="AH77" s="452" t="s">
        <v>2129</v>
      </c>
      <c r="AI77" s="450" t="s">
        <v>2127</v>
      </c>
      <c r="AJ77" s="451" t="s">
        <v>2128</v>
      </c>
      <c r="AK77" s="452" t="s">
        <v>2129</v>
      </c>
      <c r="AL77" s="450" t="s">
        <v>2127</v>
      </c>
      <c r="AM77" s="451" t="s">
        <v>2128</v>
      </c>
      <c r="AN77" s="452" t="s">
        <v>2129</v>
      </c>
      <c r="AO77" s="450" t="s">
        <v>2127</v>
      </c>
      <c r="AP77" s="451" t="s">
        <v>2128</v>
      </c>
      <c r="AQ77" s="452" t="s">
        <v>2129</v>
      </c>
      <c r="BN77" s="646"/>
      <c r="BO77" s="646"/>
      <c r="BP77" s="584"/>
      <c r="BQ77" s="584"/>
      <c r="BR77" s="584"/>
      <c r="BS77" s="584"/>
      <c r="BT77" s="584"/>
      <c r="BU77" s="584"/>
      <c r="BV77" s="584"/>
      <c r="BW77" s="584"/>
      <c r="BX77" s="584"/>
      <c r="BY77" s="584"/>
      <c r="BZ77" s="584"/>
    </row>
    <row r="78" spans="1:81" ht="16.5" x14ac:dyDescent="0.25">
      <c r="A78" s="1411" t="s">
        <v>12</v>
      </c>
      <c r="B78" s="1390"/>
      <c r="C78" s="1358">
        <v>40</v>
      </c>
      <c r="D78" s="1414" t="s">
        <v>13</v>
      </c>
      <c r="E78" s="1415"/>
      <c r="F78" s="1394" t="s">
        <v>44</v>
      </c>
      <c r="G78" s="1395"/>
      <c r="H78" s="453">
        <f>SQRT(I78^2+J78^2)*1000/(1.73*H82)</f>
        <v>27.977874663129093</v>
      </c>
      <c r="I78" s="454">
        <v>5.6710000000000003</v>
      </c>
      <c r="J78" s="455">
        <v>1.2549999999999999</v>
      </c>
      <c r="K78" s="453">
        <f>SQRT(L78^2+M78^2)*1000/(1.73*K82)</f>
        <v>29.104103644374575</v>
      </c>
      <c r="L78" s="454">
        <v>5.8920000000000003</v>
      </c>
      <c r="M78" s="455">
        <v>1.3380000000000001</v>
      </c>
      <c r="N78" s="453">
        <f>SQRT(O78^2+P78^2)*1000/(1.73*N82)</f>
        <v>31.023831103031323</v>
      </c>
      <c r="O78" s="454">
        <v>6.2450000000000001</v>
      </c>
      <c r="P78" s="455">
        <v>1.575</v>
      </c>
      <c r="Q78" s="453">
        <f>SQRT(R78^2+S78^2)*1000/(1.73*Q82)</f>
        <v>31.028653257880229</v>
      </c>
      <c r="R78" s="454">
        <v>6.2549999999999999</v>
      </c>
      <c r="S78" s="455">
        <v>1.5389999999999999</v>
      </c>
      <c r="T78" s="453">
        <f>SQRT(U78^2+V78^2)*1000/(1.73*T82)</f>
        <v>31.681841130779183</v>
      </c>
      <c r="U78" s="454">
        <v>6.3959999999999999</v>
      </c>
      <c r="V78" s="455">
        <v>1.5329999999999999</v>
      </c>
      <c r="W78" s="453">
        <f>SQRT(X78^2+Y78^2)*1000/(1.73*W82)</f>
        <v>27.388812274435796</v>
      </c>
      <c r="X78" s="454">
        <v>5.4909999999999997</v>
      </c>
      <c r="Y78" s="455">
        <v>1.476</v>
      </c>
      <c r="Z78" s="453">
        <f>SQRT(AA78^2+AB78^2)*1000/(1.73*Z82)</f>
        <v>30.954422117092992</v>
      </c>
      <c r="AA78" s="454">
        <v>6.2450000000000001</v>
      </c>
      <c r="AB78" s="455">
        <v>1.5149999999999999</v>
      </c>
      <c r="AC78" s="453">
        <f>SQRT(AD78^2+AE78^2)*1000/(1.73*AC82)</f>
        <v>30.328013562322987</v>
      </c>
      <c r="AD78" s="454">
        <v>6.1239999999999997</v>
      </c>
      <c r="AE78" s="455">
        <v>1.462</v>
      </c>
      <c r="AF78" s="453">
        <f>SQRT(AG78^2+AH78^2)*1000/(1.73*AF82)</f>
        <v>28.833400270736639</v>
      </c>
      <c r="AG78" s="454">
        <v>5.8120000000000003</v>
      </c>
      <c r="AH78" s="455">
        <v>1.4319999999999999</v>
      </c>
      <c r="AI78" s="453">
        <f>SQRT(AJ78^2+AK78^2)*1000/(1.73*AI82)</f>
        <v>27.955853342658237</v>
      </c>
      <c r="AJ78" s="454">
        <v>5.63</v>
      </c>
      <c r="AK78" s="455">
        <v>1.409</v>
      </c>
      <c r="AL78" s="453">
        <f>SQRT(AM78^2+AN78^2)*1000/(1.73*AL82)</f>
        <v>27.204177612983532</v>
      </c>
      <c r="AM78" s="454">
        <v>5.4690000000000003</v>
      </c>
      <c r="AN78" s="455">
        <v>1.409</v>
      </c>
      <c r="AO78" s="453">
        <f>SQRT(AP78^2+AQ78^2)*1000/(1.73*AO82)</f>
        <v>26.578882908809721</v>
      </c>
      <c r="AP78" s="454">
        <v>5.3380000000000001</v>
      </c>
      <c r="AQ78" s="455">
        <v>1.397</v>
      </c>
      <c r="AR78" s="645"/>
      <c r="BN78" s="646"/>
      <c r="BO78" s="646"/>
    </row>
    <row r="79" spans="1:81" ht="16.5" x14ac:dyDescent="0.25">
      <c r="A79" s="1470"/>
      <c r="B79" s="1413"/>
      <c r="C79" s="1359"/>
      <c r="D79" s="1471"/>
      <c r="E79" s="1472"/>
      <c r="F79" s="1473" t="s">
        <v>45</v>
      </c>
      <c r="G79" s="1481"/>
      <c r="H79" s="588">
        <f>SQRT(I79^2+J79^2)*1000/(1.73*H83)</f>
        <v>9.7667991815963688</v>
      </c>
      <c r="I79" s="589">
        <v>0.6</v>
      </c>
      <c r="J79" s="590">
        <v>0.1</v>
      </c>
      <c r="K79" s="588">
        <f>SQRT(L79^2+M79^2)*1000/(1.73*K83)</f>
        <v>10.958500662011275</v>
      </c>
      <c r="L79" s="589">
        <v>0.67</v>
      </c>
      <c r="M79" s="590">
        <v>0.13</v>
      </c>
      <c r="N79" s="588">
        <f>SQRT(O79^2+P79^2)*1000/(1.73*N83)</f>
        <v>11.916490247449886</v>
      </c>
      <c r="O79" s="589">
        <v>0.72</v>
      </c>
      <c r="P79" s="590">
        <v>0.18</v>
      </c>
      <c r="Q79" s="588">
        <f>SQRT(R79^2+S79^2)*1000/(1.73*Q83)</f>
        <v>11.842703220671661</v>
      </c>
      <c r="R79" s="589">
        <v>0.72</v>
      </c>
      <c r="S79" s="590">
        <v>0.16</v>
      </c>
      <c r="T79" s="588">
        <f>SQRT(U79^2+V79^2)*1000/(1.73*T83)</f>
        <v>11.180918663168711</v>
      </c>
      <c r="U79" s="589">
        <v>0.68</v>
      </c>
      <c r="V79" s="590">
        <v>0.15</v>
      </c>
      <c r="W79" s="588">
        <f>SQRT(X79^2+Y79^2)*1000/(1.73*W83)</f>
        <v>11.024177195743015</v>
      </c>
      <c r="X79" s="589">
        <v>0.67</v>
      </c>
      <c r="Y79" s="590">
        <v>0.15</v>
      </c>
      <c r="Z79" s="588">
        <f>SQRT(AA79^2+AB79^2)*1000/(1.73*Z83)</f>
        <v>11.216601924581234</v>
      </c>
      <c r="AA79" s="589">
        <v>0.68</v>
      </c>
      <c r="AB79" s="590">
        <v>0.16</v>
      </c>
      <c r="AC79" s="588">
        <f>SQRT(AD79^2+AE79^2)*1000/(1.73*AC83)</f>
        <v>11.216601924581234</v>
      </c>
      <c r="AD79" s="589">
        <v>0.68</v>
      </c>
      <c r="AE79" s="590">
        <v>0.16</v>
      </c>
      <c r="AF79" s="588">
        <f>SQRT(AG79^2+AH79^2)*1000/(1.73*AF83)</f>
        <v>10.398378200829915</v>
      </c>
      <c r="AG79" s="589">
        <v>0.63</v>
      </c>
      <c r="AH79" s="590">
        <v>0.15</v>
      </c>
      <c r="AI79" s="588">
        <f>SQRT(AJ79^2+AK79^2)*1000/(1.73*AI83)</f>
        <v>9.8926922291261175</v>
      </c>
      <c r="AJ79" s="589">
        <v>0.6</v>
      </c>
      <c r="AK79" s="590">
        <v>0.14000000000000001</v>
      </c>
      <c r="AL79" s="588">
        <f>SQRT(AM79^2+AN79^2)*1000/(1.73*AL83)</f>
        <v>10.398378200829915</v>
      </c>
      <c r="AM79" s="589">
        <v>0.63</v>
      </c>
      <c r="AN79" s="590">
        <v>0.15</v>
      </c>
      <c r="AO79" s="588">
        <f>SQRT(AP79^2+AQ79^2)*1000/(1.73*AO83)</f>
        <v>10.59243577551101</v>
      </c>
      <c r="AP79" s="589">
        <v>0.64</v>
      </c>
      <c r="AQ79" s="590">
        <v>0.16</v>
      </c>
      <c r="AR79" s="645"/>
      <c r="BN79" s="646"/>
      <c r="BO79" s="646"/>
    </row>
    <row r="80" spans="1:81" ht="17.25" thickBot="1" x14ac:dyDescent="0.3">
      <c r="A80" s="1412"/>
      <c r="B80" s="1413"/>
      <c r="C80" s="1359"/>
      <c r="D80" s="1416"/>
      <c r="E80" s="1417"/>
      <c r="F80" s="1396" t="s">
        <v>46</v>
      </c>
      <c r="G80" s="1397"/>
      <c r="H80" s="457">
        <f>SQRT(I80^2+J80^2)*1000/(1.73*H84)</f>
        <v>281.90426394331763</v>
      </c>
      <c r="I80" s="591">
        <v>5.03</v>
      </c>
      <c r="J80" s="592">
        <v>0.96</v>
      </c>
      <c r="K80" s="457">
        <f>SQRT(L80^2+M80^2)*1000/(1.73*K84)</f>
        <v>290.42896454775365</v>
      </c>
      <c r="L80" s="591">
        <v>5.18</v>
      </c>
      <c r="M80" s="592">
        <v>1</v>
      </c>
      <c r="N80" s="457">
        <f>SQRT(O80^2+P80^2)*1000/(1.73*N84)</f>
        <v>308.25026344859162</v>
      </c>
      <c r="O80" s="591">
        <v>5.4799999999999995</v>
      </c>
      <c r="P80" s="592">
        <v>1.1499999999999999</v>
      </c>
      <c r="Q80" s="457">
        <f>SQRT(R80^2+S80^2)*1000/(1.73*Q84)</f>
        <v>308.67666148486632</v>
      </c>
      <c r="R80" s="591">
        <v>5.49</v>
      </c>
      <c r="S80" s="592">
        <v>1.1400000000000001</v>
      </c>
      <c r="T80" s="457">
        <f>SQRT(U80^2+V80^2)*1000/(1.73*T84)</f>
        <v>318.43789877482453</v>
      </c>
      <c r="U80" s="591">
        <v>5.67</v>
      </c>
      <c r="V80" s="592">
        <v>1.1448432210483785</v>
      </c>
      <c r="W80" s="457">
        <f>SQRT(X80^2+Y80^2)*1000/(1.73*W84)</f>
        <v>270.10005026394543</v>
      </c>
      <c r="X80" s="591">
        <v>4.7821999999999996</v>
      </c>
      <c r="Y80" s="592">
        <v>1.0968155504849764</v>
      </c>
      <c r="Z80" s="457">
        <f>SQRT(AA80^2+AB80^2)*1000/(1.73*Z84)</f>
        <v>310.06963451184646</v>
      </c>
      <c r="AA80" s="591">
        <v>5.52</v>
      </c>
      <c r="AB80" s="592">
        <v>1.1196864420967572</v>
      </c>
      <c r="AC80" s="457">
        <f>SQRT(AD80^2+AE80^2)*1000/(1.73*AC84)</f>
        <v>303.10326817259488</v>
      </c>
      <c r="AD80" s="591">
        <v>5.4</v>
      </c>
      <c r="AE80" s="592">
        <v>1.0745296631451355</v>
      </c>
      <c r="AF80" s="457">
        <f>SQRT(AG80^2+AH80^2)*1000/(1.73*AF84)</f>
        <v>288.91264854679673</v>
      </c>
      <c r="AG80" s="591">
        <v>5.14</v>
      </c>
      <c r="AH80" s="592">
        <v>1.0596864420967571</v>
      </c>
      <c r="AI80" s="457">
        <f>SQRT(AJ80^2+AK80^2)*1000/(1.73*AI84)</f>
        <v>280.71976097963164</v>
      </c>
      <c r="AJ80" s="591">
        <v>4.99</v>
      </c>
      <c r="AK80" s="592">
        <v>1.0499999999999998</v>
      </c>
      <c r="AL80" s="457">
        <f>SQRT(AM80^2+AN80^2)*1000/(1.73*AL84)</f>
        <v>270.37569793639773</v>
      </c>
      <c r="AM80" s="591">
        <v>4.8</v>
      </c>
      <c r="AN80" s="592">
        <v>1.04</v>
      </c>
      <c r="AO80" s="457">
        <f>SQRT(AP80^2+AQ80^2)*1000/(1.73*AO84)</f>
        <v>262.61078648618883</v>
      </c>
      <c r="AP80" s="591">
        <v>4.66</v>
      </c>
      <c r="AQ80" s="592">
        <v>1.02</v>
      </c>
      <c r="AR80" s="645"/>
      <c r="BN80" s="646"/>
      <c r="BO80" s="646"/>
    </row>
    <row r="81" spans="1:67" ht="17.25" thickBot="1" x14ac:dyDescent="0.3">
      <c r="A81" s="1412"/>
      <c r="B81" s="1413"/>
      <c r="C81" s="1359"/>
      <c r="D81" s="1402" t="s">
        <v>2130</v>
      </c>
      <c r="E81" s="1403"/>
      <c r="F81" s="1479"/>
      <c r="G81" s="1480"/>
      <c r="H81" s="1476">
        <v>6</v>
      </c>
      <c r="I81" s="1477"/>
      <c r="J81" s="1478"/>
      <c r="K81" s="1476">
        <v>6</v>
      </c>
      <c r="L81" s="1477"/>
      <c r="M81" s="1478"/>
      <c r="N81" s="1476">
        <v>6</v>
      </c>
      <c r="O81" s="1477"/>
      <c r="P81" s="1478"/>
      <c r="Q81" s="1476">
        <v>6</v>
      </c>
      <c r="R81" s="1477"/>
      <c r="S81" s="1478"/>
      <c r="T81" s="1476">
        <v>6</v>
      </c>
      <c r="U81" s="1477"/>
      <c r="V81" s="1478"/>
      <c r="W81" s="1476">
        <v>6</v>
      </c>
      <c r="X81" s="1477"/>
      <c r="Y81" s="1478"/>
      <c r="Z81" s="1476">
        <v>6</v>
      </c>
      <c r="AA81" s="1477"/>
      <c r="AB81" s="1478"/>
      <c r="AC81" s="1476">
        <v>6</v>
      </c>
      <c r="AD81" s="1477"/>
      <c r="AE81" s="1478"/>
      <c r="AF81" s="1476">
        <v>6</v>
      </c>
      <c r="AG81" s="1477"/>
      <c r="AH81" s="1478"/>
      <c r="AI81" s="1476">
        <v>6</v>
      </c>
      <c r="AJ81" s="1477"/>
      <c r="AK81" s="1478"/>
      <c r="AL81" s="1476">
        <v>6</v>
      </c>
      <c r="AM81" s="1477"/>
      <c r="AN81" s="1478"/>
      <c r="AO81" s="1476">
        <v>6</v>
      </c>
      <c r="AP81" s="1477"/>
      <c r="AQ81" s="1478"/>
      <c r="BN81" s="646"/>
      <c r="BO81" s="646"/>
    </row>
    <row r="82" spans="1:67" ht="16.5" x14ac:dyDescent="0.25">
      <c r="A82" s="1412"/>
      <c r="B82" s="1413"/>
      <c r="C82" s="1359"/>
      <c r="D82" s="1388" t="s">
        <v>2131</v>
      </c>
      <c r="E82" s="1389"/>
      <c r="F82" s="1376" t="s">
        <v>44</v>
      </c>
      <c r="G82" s="1459"/>
      <c r="H82" s="1385">
        <v>120</v>
      </c>
      <c r="I82" s="1386"/>
      <c r="J82" s="1387"/>
      <c r="K82" s="1385">
        <v>120</v>
      </c>
      <c r="L82" s="1386"/>
      <c r="M82" s="1387"/>
      <c r="N82" s="1385">
        <v>120</v>
      </c>
      <c r="O82" s="1386"/>
      <c r="P82" s="1387"/>
      <c r="Q82" s="1385">
        <v>120</v>
      </c>
      <c r="R82" s="1386"/>
      <c r="S82" s="1387"/>
      <c r="T82" s="1385">
        <v>120</v>
      </c>
      <c r="U82" s="1386"/>
      <c r="V82" s="1387"/>
      <c r="W82" s="1385">
        <v>120</v>
      </c>
      <c r="X82" s="1386"/>
      <c r="Y82" s="1387"/>
      <c r="Z82" s="1385">
        <v>120</v>
      </c>
      <c r="AA82" s="1386"/>
      <c r="AB82" s="1387"/>
      <c r="AC82" s="1385">
        <v>120</v>
      </c>
      <c r="AD82" s="1386"/>
      <c r="AE82" s="1387"/>
      <c r="AF82" s="1385">
        <v>120</v>
      </c>
      <c r="AG82" s="1386"/>
      <c r="AH82" s="1387"/>
      <c r="AI82" s="1385">
        <v>120</v>
      </c>
      <c r="AJ82" s="1386"/>
      <c r="AK82" s="1387"/>
      <c r="AL82" s="1385">
        <v>120</v>
      </c>
      <c r="AM82" s="1386"/>
      <c r="AN82" s="1387"/>
      <c r="AO82" s="1385">
        <v>120</v>
      </c>
      <c r="AP82" s="1386"/>
      <c r="AQ82" s="1387"/>
      <c r="BN82" s="646"/>
      <c r="BO82" s="646"/>
    </row>
    <row r="83" spans="1:67" ht="16.5" x14ac:dyDescent="0.25">
      <c r="A83" s="1412"/>
      <c r="B83" s="1413"/>
      <c r="C83" s="1359"/>
      <c r="D83" s="1412"/>
      <c r="E83" s="1456"/>
      <c r="F83" s="1460" t="s">
        <v>45</v>
      </c>
      <c r="G83" s="1461"/>
      <c r="H83" s="1464">
        <v>36</v>
      </c>
      <c r="I83" s="1465"/>
      <c r="J83" s="1466"/>
      <c r="K83" s="1464">
        <v>36</v>
      </c>
      <c r="L83" s="1465"/>
      <c r="M83" s="1466"/>
      <c r="N83" s="1464">
        <v>36</v>
      </c>
      <c r="O83" s="1465"/>
      <c r="P83" s="1466"/>
      <c r="Q83" s="1464">
        <v>36</v>
      </c>
      <c r="R83" s="1465"/>
      <c r="S83" s="1466"/>
      <c r="T83" s="1464">
        <v>36</v>
      </c>
      <c r="U83" s="1465"/>
      <c r="V83" s="1466"/>
      <c r="W83" s="1464">
        <v>36</v>
      </c>
      <c r="X83" s="1465"/>
      <c r="Y83" s="1466"/>
      <c r="Z83" s="1464">
        <v>36</v>
      </c>
      <c r="AA83" s="1465"/>
      <c r="AB83" s="1466"/>
      <c r="AC83" s="1464">
        <v>36</v>
      </c>
      <c r="AD83" s="1465"/>
      <c r="AE83" s="1466"/>
      <c r="AF83" s="1464">
        <v>36</v>
      </c>
      <c r="AG83" s="1465"/>
      <c r="AH83" s="1466"/>
      <c r="AI83" s="1464">
        <v>36</v>
      </c>
      <c r="AJ83" s="1465"/>
      <c r="AK83" s="1466"/>
      <c r="AL83" s="1464">
        <v>36</v>
      </c>
      <c r="AM83" s="1465"/>
      <c r="AN83" s="1466"/>
      <c r="AO83" s="1464">
        <v>36</v>
      </c>
      <c r="AP83" s="1465"/>
      <c r="AQ83" s="1466"/>
      <c r="AX83" s="646"/>
      <c r="AY83" s="646"/>
      <c r="BB83" s="646"/>
      <c r="BC83" s="646"/>
      <c r="BN83" s="646"/>
      <c r="BO83" s="646"/>
    </row>
    <row r="84" spans="1:67" ht="17.25" thickBot="1" x14ac:dyDescent="0.3">
      <c r="A84" s="1412"/>
      <c r="B84" s="1413"/>
      <c r="C84" s="1359"/>
      <c r="D84" s="1391"/>
      <c r="E84" s="1392"/>
      <c r="F84" s="1462" t="s">
        <v>46</v>
      </c>
      <c r="G84" s="1463"/>
      <c r="H84" s="1399">
        <v>10.5</v>
      </c>
      <c r="I84" s="1400"/>
      <c r="J84" s="1401"/>
      <c r="K84" s="1399">
        <v>10.5</v>
      </c>
      <c r="L84" s="1400"/>
      <c r="M84" s="1401"/>
      <c r="N84" s="1399">
        <v>10.5</v>
      </c>
      <c r="O84" s="1400"/>
      <c r="P84" s="1401"/>
      <c r="Q84" s="1399">
        <v>10.5</v>
      </c>
      <c r="R84" s="1400"/>
      <c r="S84" s="1401"/>
      <c r="T84" s="1399">
        <v>10.5</v>
      </c>
      <c r="U84" s="1400"/>
      <c r="V84" s="1401"/>
      <c r="W84" s="1399">
        <v>10.5</v>
      </c>
      <c r="X84" s="1400"/>
      <c r="Y84" s="1401"/>
      <c r="Z84" s="1399">
        <v>10.5</v>
      </c>
      <c r="AA84" s="1400"/>
      <c r="AB84" s="1401"/>
      <c r="AC84" s="1399">
        <v>10.5</v>
      </c>
      <c r="AD84" s="1400"/>
      <c r="AE84" s="1401"/>
      <c r="AF84" s="1399">
        <v>10.5</v>
      </c>
      <c r="AG84" s="1400"/>
      <c r="AH84" s="1401"/>
      <c r="AI84" s="1399">
        <v>10.5</v>
      </c>
      <c r="AJ84" s="1400"/>
      <c r="AK84" s="1401"/>
      <c r="AL84" s="1399">
        <v>10.5</v>
      </c>
      <c r="AM84" s="1400"/>
      <c r="AN84" s="1401"/>
      <c r="AO84" s="1399">
        <v>10.5</v>
      </c>
      <c r="AP84" s="1400"/>
      <c r="AQ84" s="1401"/>
      <c r="AX84" s="646"/>
      <c r="AY84" s="646"/>
      <c r="BB84" s="646"/>
      <c r="BC84" s="646"/>
      <c r="BN84" s="646"/>
      <c r="BO84" s="646"/>
    </row>
    <row r="85" spans="1:67" ht="17.25" thickBot="1" x14ac:dyDescent="0.3">
      <c r="A85" s="1391"/>
      <c r="B85" s="1393"/>
      <c r="C85" s="1360"/>
      <c r="D85" s="1402" t="s">
        <v>31</v>
      </c>
      <c r="E85" s="1403"/>
      <c r="F85" s="1383"/>
      <c r="G85" s="1475"/>
      <c r="H85" s="1405" t="s">
        <v>124</v>
      </c>
      <c r="I85" s="1406"/>
      <c r="J85" s="1407"/>
      <c r="K85" s="1405" t="s">
        <v>124</v>
      </c>
      <c r="L85" s="1406"/>
      <c r="M85" s="1407"/>
      <c r="N85" s="1405" t="s">
        <v>124</v>
      </c>
      <c r="O85" s="1406"/>
      <c r="P85" s="1407"/>
      <c r="Q85" s="1405" t="s">
        <v>124</v>
      </c>
      <c r="R85" s="1406"/>
      <c r="S85" s="1407"/>
      <c r="T85" s="1405" t="s">
        <v>124</v>
      </c>
      <c r="U85" s="1406"/>
      <c r="V85" s="1407"/>
      <c r="W85" s="1405" t="s">
        <v>124</v>
      </c>
      <c r="X85" s="1406"/>
      <c r="Y85" s="1407"/>
      <c r="Z85" s="1405" t="s">
        <v>124</v>
      </c>
      <c r="AA85" s="1406"/>
      <c r="AB85" s="1407"/>
      <c r="AC85" s="1405" t="s">
        <v>124</v>
      </c>
      <c r="AD85" s="1406"/>
      <c r="AE85" s="1407"/>
      <c r="AF85" s="1405" t="s">
        <v>124</v>
      </c>
      <c r="AG85" s="1406"/>
      <c r="AH85" s="1407"/>
      <c r="AI85" s="1405" t="s">
        <v>124</v>
      </c>
      <c r="AJ85" s="1406"/>
      <c r="AK85" s="1407"/>
      <c r="AL85" s="1405" t="s">
        <v>124</v>
      </c>
      <c r="AM85" s="1406"/>
      <c r="AN85" s="1407"/>
      <c r="AO85" s="1405" t="s">
        <v>124</v>
      </c>
      <c r="AP85" s="1406"/>
      <c r="AQ85" s="1407"/>
      <c r="AX85" s="646"/>
      <c r="AY85" s="646"/>
      <c r="BB85" s="646"/>
      <c r="BC85" s="646"/>
    </row>
    <row r="86" spans="1:67" ht="16.5" x14ac:dyDescent="0.25">
      <c r="A86" s="1411" t="s">
        <v>16</v>
      </c>
      <c r="B86" s="1390"/>
      <c r="C86" s="1358">
        <v>40</v>
      </c>
      <c r="D86" s="1414" t="s">
        <v>13</v>
      </c>
      <c r="E86" s="1415"/>
      <c r="F86" s="1394" t="s">
        <v>44</v>
      </c>
      <c r="G86" s="1418"/>
      <c r="H86" s="453">
        <f>SQRT(I86^2+J86^2)*1000/(1.73*H90)</f>
        <v>24.240709918801823</v>
      </c>
      <c r="I86" s="454">
        <v>4.8449999999999998</v>
      </c>
      <c r="J86" s="455">
        <v>1.196</v>
      </c>
      <c r="K86" s="647">
        <f>SQRT(L86^2+M86^2)*1000/(1.73*K90)</f>
        <v>24.752424901193805</v>
      </c>
      <c r="L86" s="454">
        <v>4.9859999999999998</v>
      </c>
      <c r="M86" s="455">
        <v>1.2430000000000001</v>
      </c>
      <c r="N86" s="453">
        <f>SQRT(O86^2+P86^2)*1000/(1.73*N90)</f>
        <v>26.468687153801728</v>
      </c>
      <c r="O86" s="454">
        <v>5.3280000000000003</v>
      </c>
      <c r="P86" s="455">
        <v>1.3440000000000001</v>
      </c>
      <c r="Q86" s="453">
        <f>SQRT(R86^2+S86^2)*1000/(1.73*Q90)</f>
        <v>26.712260426397844</v>
      </c>
      <c r="R86" s="454">
        <v>5.3890000000000002</v>
      </c>
      <c r="S86" s="455">
        <v>1.3080000000000001</v>
      </c>
      <c r="T86" s="453">
        <f>SQRT(U86^2+V86^2)*1000/(1.73*T90)</f>
        <v>27.280498387246389</v>
      </c>
      <c r="U86" s="454">
        <v>5.4189999999999996</v>
      </c>
      <c r="V86" s="455">
        <v>1.284</v>
      </c>
      <c r="W86" s="453">
        <f>SQRT(X86^2+Y86^2)*1000/(1.73*W90)</f>
        <v>29.619799307503992</v>
      </c>
      <c r="X86" s="454">
        <v>5.9450000000000003</v>
      </c>
      <c r="Y86" s="455">
        <v>1.571</v>
      </c>
      <c r="Z86" s="453">
        <f>SQRT(AA86^2+AB86^2)*1000/(1.73*Z90)</f>
        <v>26.494663213648373</v>
      </c>
      <c r="AA86" s="454">
        <v>5.3579999999999997</v>
      </c>
      <c r="AB86" s="455">
        <v>1.2430000000000001</v>
      </c>
      <c r="AC86" s="453">
        <f>SQRT(AD86^2+AE86^2)*1000/(1.73*AC90)</f>
        <v>26.419920969133543</v>
      </c>
      <c r="AD86" s="454">
        <v>5.2880000000000003</v>
      </c>
      <c r="AE86" s="455">
        <v>1.2729999999999999</v>
      </c>
      <c r="AF86" s="453">
        <f>SQRT(AG86^2+AH86^2)*1000/(1.73*AF90)</f>
        <v>2.6917603946179893</v>
      </c>
      <c r="AG86" s="454">
        <v>5.0759999999999996</v>
      </c>
      <c r="AH86" s="455">
        <v>1.1779999999999999</v>
      </c>
      <c r="AI86" s="453">
        <f>SQRT(AJ86^2+AK86^2)*1000/(1.73*AI90)</f>
        <v>24.300662207434598</v>
      </c>
      <c r="AJ86" s="454">
        <v>4.8650000000000002</v>
      </c>
      <c r="AK86" s="455">
        <v>1.1659999999999999</v>
      </c>
      <c r="AL86" s="453">
        <f>SQRT(AM86^2+AN86^2)*1000/(1.73*AL90)</f>
        <v>23.366779981879212</v>
      </c>
      <c r="AM86" s="454">
        <v>4.673</v>
      </c>
      <c r="AN86" s="455">
        <v>1.1419999999999999</v>
      </c>
      <c r="AO86" s="453">
        <f>SQRT(AP86^2+AQ86^2)*1000/(1.73*AO90)</f>
        <v>18.965360671064929</v>
      </c>
      <c r="AP86" s="454">
        <v>3.7370000000000001</v>
      </c>
      <c r="AQ86" s="455">
        <v>1.131</v>
      </c>
      <c r="AR86" s="645"/>
      <c r="AX86" s="646"/>
      <c r="AY86" s="646"/>
      <c r="BB86" s="646"/>
      <c r="BC86" s="646"/>
    </row>
    <row r="87" spans="1:67" ht="16.5" x14ac:dyDescent="0.25">
      <c r="A87" s="1470"/>
      <c r="B87" s="1413"/>
      <c r="C87" s="1359"/>
      <c r="D87" s="1471"/>
      <c r="E87" s="1472"/>
      <c r="F87" s="1473" t="s">
        <v>45</v>
      </c>
      <c r="G87" s="1474"/>
      <c r="H87" s="593">
        <f>SQRT(I87^2+J87^2)*1000/(1.73*H91)</f>
        <v>16.847106914086368</v>
      </c>
      <c r="I87" s="594">
        <v>1.03</v>
      </c>
      <c r="J87" s="595">
        <v>0.2</v>
      </c>
      <c r="K87" s="593">
        <f>SQRT(L87^2+M87^2)*1000/(1.73*K91)</f>
        <v>17.478020558182148</v>
      </c>
      <c r="L87" s="594">
        <v>1.07</v>
      </c>
      <c r="M87" s="595">
        <v>0.2</v>
      </c>
      <c r="N87" s="593">
        <f>SQRT(O87^2+P87^2)*1000/(1.73*N91)</f>
        <v>18.862822326630909</v>
      </c>
      <c r="O87" s="594">
        <v>1.1499999999999999</v>
      </c>
      <c r="P87" s="595">
        <v>0.24</v>
      </c>
      <c r="Q87" s="593">
        <f>SQRT(R87^2+S87^2)*1000/(1.73*Q91)</f>
        <v>19.020029409069807</v>
      </c>
      <c r="R87" s="594">
        <v>1.1599999999999999</v>
      </c>
      <c r="S87" s="595">
        <v>0.24</v>
      </c>
      <c r="T87" s="593">
        <f>SQRT(U87^2+V87^2)*1000/(1.73*T91)</f>
        <v>18.862822326630909</v>
      </c>
      <c r="U87" s="594">
        <v>1.1499999999999999</v>
      </c>
      <c r="V87" s="595">
        <v>0.24</v>
      </c>
      <c r="W87" s="593">
        <f>SQRT(X87^2+Y87^2)*1000/(1.73*W91)</f>
        <v>18.358577478555954</v>
      </c>
      <c r="X87" s="594">
        <v>1.1200000000000001</v>
      </c>
      <c r="Y87" s="595">
        <v>0.23</v>
      </c>
      <c r="Z87" s="593">
        <f>SQRT(AA87^2+AB87^2)*1000/(1.73*Z91)</f>
        <v>18.673255217747279</v>
      </c>
      <c r="AA87" s="594">
        <v>1.1399999999999999</v>
      </c>
      <c r="AB87" s="595">
        <v>0.23</v>
      </c>
      <c r="AC87" s="593">
        <f>SQRT(AD87^2+AE87^2)*1000/(1.73*AC91)</f>
        <v>18.692574286840358</v>
      </c>
      <c r="AD87" s="594">
        <v>1.1299999999999999</v>
      </c>
      <c r="AE87" s="595">
        <v>0.28000000000000003</v>
      </c>
      <c r="AF87" s="593">
        <f>SQRT(AG87^2+AH87^2)*1000/(1.73*AF91)</f>
        <v>18.01195075450245</v>
      </c>
      <c r="AG87" s="594">
        <v>1.1000000000000001</v>
      </c>
      <c r="AH87" s="595">
        <v>0.22</v>
      </c>
      <c r="AI87" s="593">
        <f>SQRT(AJ87^2+AK87^2)*1000/(1.73*AI91)</f>
        <v>17.539863789607828</v>
      </c>
      <c r="AJ87" s="594">
        <v>1.07</v>
      </c>
      <c r="AK87" s="595">
        <v>0.22</v>
      </c>
      <c r="AL87" s="593">
        <f>SQRT(AM87^2+AN87^2)*1000/(1.73*AL91)</f>
        <v>17.225434723365652</v>
      </c>
      <c r="AM87" s="594">
        <v>1.05</v>
      </c>
      <c r="AN87" s="595">
        <v>0.22</v>
      </c>
      <c r="AO87" s="593">
        <f>SQRT(AP87^2+AQ87^2)*1000/(1.73*AO91)</f>
        <v>4.9956163089608365</v>
      </c>
      <c r="AP87" s="594">
        <v>0.22</v>
      </c>
      <c r="AQ87" s="595">
        <v>0.22</v>
      </c>
      <c r="AR87" s="645"/>
      <c r="AX87" s="646"/>
      <c r="AY87" s="646"/>
      <c r="BB87" s="646"/>
      <c r="BC87" s="646"/>
    </row>
    <row r="88" spans="1:67" ht="17.25" thickBot="1" x14ac:dyDescent="0.3">
      <c r="A88" s="1412"/>
      <c r="B88" s="1413"/>
      <c r="C88" s="1359"/>
      <c r="D88" s="1416"/>
      <c r="E88" s="1417"/>
      <c r="F88" s="1396" t="s">
        <v>46</v>
      </c>
      <c r="G88" s="1419"/>
      <c r="H88" s="457">
        <f>SQRT(I88^2+J88^2)*1000/(1.73*H92)</f>
        <v>212.81649805035042</v>
      </c>
      <c r="I88" s="591">
        <v>3.78</v>
      </c>
      <c r="J88" s="596">
        <v>0.81</v>
      </c>
      <c r="K88" s="457">
        <f>SQRT(L88^2+M88^2)*1000/(1.73*K92)</f>
        <v>218.65937316187311</v>
      </c>
      <c r="L88" s="591">
        <v>3.88</v>
      </c>
      <c r="M88" s="596">
        <v>0.84968644209675714</v>
      </c>
      <c r="N88" s="457">
        <f>SQRT(O88^2+P88^2)*1000/(1.73*N92)</f>
        <v>233.17392630385416</v>
      </c>
      <c r="O88" s="591">
        <v>4.1399999999999997</v>
      </c>
      <c r="P88" s="596">
        <v>0.89484322104837855</v>
      </c>
      <c r="Q88" s="457">
        <f>SQRT(R88^2+S88^2)*1000/(1.73*Q92)</f>
        <v>235.52566547983506</v>
      </c>
      <c r="R88" s="591">
        <v>4.1899999999999995</v>
      </c>
      <c r="S88" s="596">
        <v>0.86484322104837852</v>
      </c>
      <c r="T88" s="457">
        <f>SQRT(U88^2+V88^2)*1000/(1.73*T92)</f>
        <v>237.4645634255663</v>
      </c>
      <c r="U88" s="591">
        <v>4.2299999999999995</v>
      </c>
      <c r="V88" s="596">
        <v>0.8448432210483785</v>
      </c>
      <c r="W88" s="457">
        <f>SQRT(X88^2+Y88^2)*1000/(1.73*W92)</f>
        <v>270.10005026394543</v>
      </c>
      <c r="X88" s="591">
        <v>4.7821999999999996</v>
      </c>
      <c r="Y88" s="596">
        <v>1.0968155504849764</v>
      </c>
      <c r="Z88" s="457">
        <f>SQRT(AA88^2+AB88^2)*1000/(1.73*Z92)</f>
        <v>234.49551329838704</v>
      </c>
      <c r="AA88" s="591">
        <v>4.18</v>
      </c>
      <c r="AB88" s="596">
        <v>0.81968644209675712</v>
      </c>
      <c r="AC88" s="457">
        <f>SQRT(AD88^2+AE88^2)*1000/(1.73*AC92)</f>
        <v>230.99209308976413</v>
      </c>
      <c r="AD88" s="591">
        <v>4.12</v>
      </c>
      <c r="AE88" s="596">
        <v>0.79484322104837868</v>
      </c>
      <c r="AF88" s="457">
        <f>SQRT(AG88^2+AH88^2)*1000/(1.73*AF92)</f>
        <v>221.05520756237416</v>
      </c>
      <c r="AG88" s="591">
        <v>3.9399999999999995</v>
      </c>
      <c r="AH88" s="596">
        <v>0.77484322104837866</v>
      </c>
      <c r="AI88" s="457">
        <f>SQRT(AJ88^2+AK88^2)*1000/(1.73*AI92)</f>
        <v>211.23050398408435</v>
      </c>
      <c r="AJ88" s="591">
        <v>3.76</v>
      </c>
      <c r="AK88" s="596">
        <v>0.76484322104837865</v>
      </c>
      <c r="AL88" s="457">
        <f>SQRT(AM88^2+AN88^2)*1000/(1.73*AL92)</f>
        <v>201.84172226960968</v>
      </c>
      <c r="AM88" s="591">
        <v>3.59</v>
      </c>
      <c r="AN88" s="596">
        <v>0.74484322104837863</v>
      </c>
      <c r="AO88" s="457">
        <f>SQRT(AP88^2+AQ88^2)*1000/(1.73*AO92)</f>
        <v>196.34044352255989</v>
      </c>
      <c r="AP88" s="591">
        <v>3.4899999999999998</v>
      </c>
      <c r="AQ88" s="596">
        <v>0.73484322104837863</v>
      </c>
      <c r="AR88" s="645"/>
      <c r="AX88" s="646"/>
      <c r="AY88" s="646"/>
      <c r="BB88" s="646"/>
      <c r="BC88" s="646"/>
    </row>
    <row r="89" spans="1:67" ht="17.25" thickBot="1" x14ac:dyDescent="0.3">
      <c r="A89" s="1412"/>
      <c r="B89" s="1413"/>
      <c r="C89" s="1359"/>
      <c r="D89" s="1402" t="s">
        <v>2130</v>
      </c>
      <c r="E89" s="1403"/>
      <c r="F89" s="1403"/>
      <c r="G89" s="1404"/>
      <c r="H89" s="1467">
        <v>5</v>
      </c>
      <c r="I89" s="1468"/>
      <c r="J89" s="1469"/>
      <c r="K89" s="1467">
        <v>5</v>
      </c>
      <c r="L89" s="1468"/>
      <c r="M89" s="1469"/>
      <c r="N89" s="1467">
        <v>5</v>
      </c>
      <c r="O89" s="1468"/>
      <c r="P89" s="1469"/>
      <c r="Q89" s="1467">
        <v>5</v>
      </c>
      <c r="R89" s="1468"/>
      <c r="S89" s="1469"/>
      <c r="T89" s="1467">
        <v>5</v>
      </c>
      <c r="U89" s="1468"/>
      <c r="V89" s="1469"/>
      <c r="W89" s="1467">
        <v>5</v>
      </c>
      <c r="X89" s="1468"/>
      <c r="Y89" s="1469"/>
      <c r="Z89" s="1467">
        <v>5</v>
      </c>
      <c r="AA89" s="1468"/>
      <c r="AB89" s="1469"/>
      <c r="AC89" s="1467">
        <v>5</v>
      </c>
      <c r="AD89" s="1468"/>
      <c r="AE89" s="1469"/>
      <c r="AF89" s="1467">
        <v>5</v>
      </c>
      <c r="AG89" s="1468"/>
      <c r="AH89" s="1469"/>
      <c r="AI89" s="1467">
        <v>5</v>
      </c>
      <c r="AJ89" s="1468"/>
      <c r="AK89" s="1469"/>
      <c r="AL89" s="1467">
        <v>5</v>
      </c>
      <c r="AM89" s="1468"/>
      <c r="AN89" s="1469"/>
      <c r="AO89" s="1467">
        <v>5</v>
      </c>
      <c r="AP89" s="1468"/>
      <c r="AQ89" s="1469"/>
      <c r="AX89" s="646"/>
      <c r="AY89" s="646"/>
      <c r="BB89" s="646"/>
      <c r="BC89" s="646"/>
    </row>
    <row r="90" spans="1:67" ht="16.5" x14ac:dyDescent="0.25">
      <c r="A90" s="1412"/>
      <c r="B90" s="1413"/>
      <c r="C90" s="1359"/>
      <c r="D90" s="1388" t="s">
        <v>2131</v>
      </c>
      <c r="E90" s="1389"/>
      <c r="F90" s="1376" t="s">
        <v>44</v>
      </c>
      <c r="G90" s="1459"/>
      <c r="H90" s="1385">
        <v>119</v>
      </c>
      <c r="I90" s="1386"/>
      <c r="J90" s="1387"/>
      <c r="K90" s="1385">
        <v>120</v>
      </c>
      <c r="L90" s="1386"/>
      <c r="M90" s="1387"/>
      <c r="N90" s="1385">
        <v>120</v>
      </c>
      <c r="O90" s="1386"/>
      <c r="P90" s="1387"/>
      <c r="Q90" s="1385">
        <v>120</v>
      </c>
      <c r="R90" s="1386"/>
      <c r="S90" s="1387"/>
      <c r="T90" s="1385">
        <v>118</v>
      </c>
      <c r="U90" s="1386"/>
      <c r="V90" s="1387"/>
      <c r="W90" s="1385">
        <v>120</v>
      </c>
      <c r="X90" s="1386"/>
      <c r="Y90" s="1387"/>
      <c r="Z90" s="1385">
        <v>120</v>
      </c>
      <c r="AA90" s="1386"/>
      <c r="AB90" s="1387"/>
      <c r="AC90" s="1385">
        <v>119</v>
      </c>
      <c r="AD90" s="1386"/>
      <c r="AE90" s="1387"/>
      <c r="AF90" s="1385">
        <v>1119</v>
      </c>
      <c r="AG90" s="1386"/>
      <c r="AH90" s="1387"/>
      <c r="AI90" s="1385">
        <v>119</v>
      </c>
      <c r="AJ90" s="1386"/>
      <c r="AK90" s="1387"/>
      <c r="AL90" s="1385">
        <v>119</v>
      </c>
      <c r="AM90" s="1386"/>
      <c r="AN90" s="1387"/>
      <c r="AO90" s="1385">
        <v>119</v>
      </c>
      <c r="AP90" s="1386"/>
      <c r="AQ90" s="1387"/>
      <c r="AX90" s="646"/>
      <c r="AY90" s="646"/>
      <c r="BB90" s="646"/>
      <c r="BC90" s="646"/>
    </row>
    <row r="91" spans="1:67" ht="16.5" x14ac:dyDescent="0.25">
      <c r="A91" s="1412"/>
      <c r="B91" s="1413"/>
      <c r="C91" s="1359"/>
      <c r="D91" s="1412"/>
      <c r="E91" s="1456"/>
      <c r="F91" s="1460" t="s">
        <v>45</v>
      </c>
      <c r="G91" s="1461"/>
      <c r="H91" s="1464">
        <v>36</v>
      </c>
      <c r="I91" s="1465"/>
      <c r="J91" s="1466"/>
      <c r="K91" s="1464">
        <v>36</v>
      </c>
      <c r="L91" s="1465"/>
      <c r="M91" s="1466"/>
      <c r="N91" s="1464">
        <v>36</v>
      </c>
      <c r="O91" s="1465"/>
      <c r="P91" s="1466"/>
      <c r="Q91" s="1464">
        <v>36</v>
      </c>
      <c r="R91" s="1465"/>
      <c r="S91" s="1466"/>
      <c r="T91" s="1464">
        <v>36</v>
      </c>
      <c r="U91" s="1465"/>
      <c r="V91" s="1466"/>
      <c r="W91" s="1464">
        <v>36</v>
      </c>
      <c r="X91" s="1465"/>
      <c r="Y91" s="1466"/>
      <c r="Z91" s="1464">
        <v>36</v>
      </c>
      <c r="AA91" s="1465"/>
      <c r="AB91" s="1466"/>
      <c r="AC91" s="1464">
        <v>36</v>
      </c>
      <c r="AD91" s="1465"/>
      <c r="AE91" s="1466"/>
      <c r="AF91" s="1464">
        <v>36</v>
      </c>
      <c r="AG91" s="1465"/>
      <c r="AH91" s="1466"/>
      <c r="AI91" s="1464">
        <v>36</v>
      </c>
      <c r="AJ91" s="1465"/>
      <c r="AK91" s="1466"/>
      <c r="AL91" s="1464">
        <v>36</v>
      </c>
      <c r="AM91" s="1465"/>
      <c r="AN91" s="1466"/>
      <c r="AO91" s="1464">
        <v>36</v>
      </c>
      <c r="AP91" s="1465"/>
      <c r="AQ91" s="1466"/>
    </row>
    <row r="92" spans="1:67" ht="17.25" thickBot="1" x14ac:dyDescent="0.3">
      <c r="A92" s="1412"/>
      <c r="B92" s="1413"/>
      <c r="C92" s="1359"/>
      <c r="D92" s="1391"/>
      <c r="E92" s="1392"/>
      <c r="F92" s="1462" t="s">
        <v>46</v>
      </c>
      <c r="G92" s="1463"/>
      <c r="H92" s="1399">
        <v>10.5</v>
      </c>
      <c r="I92" s="1400"/>
      <c r="J92" s="1401"/>
      <c r="K92" s="1399">
        <v>10.5</v>
      </c>
      <c r="L92" s="1400"/>
      <c r="M92" s="1401"/>
      <c r="N92" s="1399">
        <v>10.5</v>
      </c>
      <c r="O92" s="1400"/>
      <c r="P92" s="1401"/>
      <c r="Q92" s="1399">
        <v>10.5</v>
      </c>
      <c r="R92" s="1400"/>
      <c r="S92" s="1401"/>
      <c r="T92" s="1399">
        <v>10.5</v>
      </c>
      <c r="U92" s="1400"/>
      <c r="V92" s="1401"/>
      <c r="W92" s="1399">
        <v>10.5</v>
      </c>
      <c r="X92" s="1400"/>
      <c r="Y92" s="1401"/>
      <c r="Z92" s="1399">
        <v>10.5</v>
      </c>
      <c r="AA92" s="1400"/>
      <c r="AB92" s="1401"/>
      <c r="AC92" s="1399">
        <v>10.5</v>
      </c>
      <c r="AD92" s="1400"/>
      <c r="AE92" s="1401"/>
      <c r="AF92" s="1399">
        <v>10.5</v>
      </c>
      <c r="AG92" s="1400"/>
      <c r="AH92" s="1401"/>
      <c r="AI92" s="1399">
        <v>10.5</v>
      </c>
      <c r="AJ92" s="1400"/>
      <c r="AK92" s="1401"/>
      <c r="AL92" s="1399">
        <v>10.5</v>
      </c>
      <c r="AM92" s="1400"/>
      <c r="AN92" s="1401"/>
      <c r="AO92" s="1399">
        <v>10.5</v>
      </c>
      <c r="AP92" s="1400"/>
      <c r="AQ92" s="1401"/>
    </row>
    <row r="93" spans="1:67" ht="17.25" thickBot="1" x14ac:dyDescent="0.3">
      <c r="A93" s="1391"/>
      <c r="B93" s="1393"/>
      <c r="C93" s="1360"/>
      <c r="D93" s="1402" t="s">
        <v>31</v>
      </c>
      <c r="E93" s="1403"/>
      <c r="F93" s="1403"/>
      <c r="G93" s="1404"/>
      <c r="H93" s="1408" t="s">
        <v>124</v>
      </c>
      <c r="I93" s="1409"/>
      <c r="J93" s="1410"/>
      <c r="K93" s="1408" t="s">
        <v>124</v>
      </c>
      <c r="L93" s="1409"/>
      <c r="M93" s="1410"/>
      <c r="N93" s="1408" t="s">
        <v>124</v>
      </c>
      <c r="O93" s="1409"/>
      <c r="P93" s="1410"/>
      <c r="Q93" s="1408" t="s">
        <v>124</v>
      </c>
      <c r="R93" s="1409"/>
      <c r="S93" s="1410"/>
      <c r="T93" s="1408" t="s">
        <v>124</v>
      </c>
      <c r="U93" s="1409"/>
      <c r="V93" s="1410"/>
      <c r="W93" s="1408" t="s">
        <v>124</v>
      </c>
      <c r="X93" s="1409"/>
      <c r="Y93" s="1410"/>
      <c r="Z93" s="1408" t="s">
        <v>124</v>
      </c>
      <c r="AA93" s="1409"/>
      <c r="AB93" s="1410"/>
      <c r="AC93" s="1408" t="s">
        <v>124</v>
      </c>
      <c r="AD93" s="1409"/>
      <c r="AE93" s="1410"/>
      <c r="AF93" s="1408" t="s">
        <v>124</v>
      </c>
      <c r="AG93" s="1409"/>
      <c r="AH93" s="1410"/>
      <c r="AI93" s="1408" t="s">
        <v>124</v>
      </c>
      <c r="AJ93" s="1409"/>
      <c r="AK93" s="1410"/>
      <c r="AL93" s="1408" t="s">
        <v>124</v>
      </c>
      <c r="AM93" s="1409"/>
      <c r="AN93" s="1410"/>
      <c r="AO93" s="1408" t="s">
        <v>124</v>
      </c>
      <c r="AP93" s="1409"/>
      <c r="AQ93" s="1410"/>
    </row>
    <row r="94" spans="1:67" ht="16.5" x14ac:dyDescent="0.25">
      <c r="A94" s="1388" t="s">
        <v>2133</v>
      </c>
      <c r="B94" s="1389"/>
      <c r="C94" s="1390"/>
      <c r="D94" s="1362"/>
      <c r="E94" s="1364"/>
      <c r="F94" s="1376" t="s">
        <v>44</v>
      </c>
      <c r="G94" s="1459"/>
      <c r="H94" s="453">
        <f t="shared" ref="H94:AQ96" si="6">H86+H78</f>
        <v>52.218584581930912</v>
      </c>
      <c r="I94" s="460">
        <f t="shared" si="6"/>
        <v>10.516</v>
      </c>
      <c r="J94" s="461">
        <f t="shared" si="6"/>
        <v>2.4509999999999996</v>
      </c>
      <c r="K94" s="453">
        <f t="shared" si="6"/>
        <v>53.856528545568381</v>
      </c>
      <c r="L94" s="460">
        <f t="shared" si="6"/>
        <v>10.878</v>
      </c>
      <c r="M94" s="461">
        <f t="shared" si="6"/>
        <v>2.5810000000000004</v>
      </c>
      <c r="N94" s="453">
        <f t="shared" si="6"/>
        <v>57.492518256833051</v>
      </c>
      <c r="O94" s="460">
        <f t="shared" si="6"/>
        <v>11.573</v>
      </c>
      <c r="P94" s="461">
        <f t="shared" si="6"/>
        <v>2.919</v>
      </c>
      <c r="Q94" s="453">
        <f t="shared" si="6"/>
        <v>57.74091368427807</v>
      </c>
      <c r="R94" s="460">
        <f t="shared" si="6"/>
        <v>11.644</v>
      </c>
      <c r="S94" s="461">
        <f t="shared" si="6"/>
        <v>2.847</v>
      </c>
      <c r="T94" s="453">
        <f t="shared" si="6"/>
        <v>58.962339518025573</v>
      </c>
      <c r="U94" s="460">
        <f t="shared" si="6"/>
        <v>11.815</v>
      </c>
      <c r="V94" s="461">
        <f t="shared" si="6"/>
        <v>2.8170000000000002</v>
      </c>
      <c r="W94" s="453">
        <f t="shared" si="6"/>
        <v>57.008611581939789</v>
      </c>
      <c r="X94" s="460">
        <f t="shared" si="6"/>
        <v>11.436</v>
      </c>
      <c r="Y94" s="461">
        <f t="shared" si="6"/>
        <v>3.0469999999999997</v>
      </c>
      <c r="Z94" s="453">
        <f t="shared" si="6"/>
        <v>57.449085330741369</v>
      </c>
      <c r="AA94" s="460">
        <f t="shared" si="6"/>
        <v>11.603</v>
      </c>
      <c r="AB94" s="461">
        <f t="shared" si="6"/>
        <v>2.758</v>
      </c>
      <c r="AC94" s="453">
        <f t="shared" si="6"/>
        <v>56.747934531456529</v>
      </c>
      <c r="AD94" s="460">
        <f t="shared" si="6"/>
        <v>11.411999999999999</v>
      </c>
      <c r="AE94" s="461">
        <f t="shared" si="6"/>
        <v>2.7349999999999999</v>
      </c>
      <c r="AF94" s="453">
        <f t="shared" si="6"/>
        <v>31.52516066535463</v>
      </c>
      <c r="AG94" s="460">
        <f t="shared" si="6"/>
        <v>10.888</v>
      </c>
      <c r="AH94" s="461">
        <f t="shared" si="6"/>
        <v>2.61</v>
      </c>
      <c r="AI94" s="453">
        <f t="shared" si="6"/>
        <v>52.256515550092836</v>
      </c>
      <c r="AJ94" s="460">
        <f t="shared" si="6"/>
        <v>10.495000000000001</v>
      </c>
      <c r="AK94" s="461">
        <f t="shared" si="6"/>
        <v>2.5750000000000002</v>
      </c>
      <c r="AL94" s="453">
        <f t="shared" si="6"/>
        <v>50.570957594862747</v>
      </c>
      <c r="AM94" s="460">
        <f t="shared" si="6"/>
        <v>10.141999999999999</v>
      </c>
      <c r="AN94" s="461">
        <f t="shared" si="6"/>
        <v>2.5510000000000002</v>
      </c>
      <c r="AO94" s="453">
        <f t="shared" si="6"/>
        <v>45.544243579874646</v>
      </c>
      <c r="AP94" s="460">
        <f t="shared" si="6"/>
        <v>9.0749999999999993</v>
      </c>
      <c r="AQ94" s="461">
        <f t="shared" si="6"/>
        <v>2.528</v>
      </c>
      <c r="AR94" s="645"/>
    </row>
    <row r="95" spans="1:67" ht="16.5" x14ac:dyDescent="0.25">
      <c r="A95" s="1412"/>
      <c r="B95" s="1456"/>
      <c r="C95" s="1413"/>
      <c r="D95" s="1457"/>
      <c r="E95" s="1458"/>
      <c r="F95" s="1460" t="s">
        <v>45</v>
      </c>
      <c r="G95" s="1461"/>
      <c r="H95" s="588">
        <f t="shared" si="6"/>
        <v>26.613906095682736</v>
      </c>
      <c r="I95" s="597">
        <f t="shared" si="6"/>
        <v>1.63</v>
      </c>
      <c r="J95" s="598">
        <f t="shared" si="6"/>
        <v>0.30000000000000004</v>
      </c>
      <c r="K95" s="588">
        <f t="shared" si="6"/>
        <v>28.436521220193423</v>
      </c>
      <c r="L95" s="597">
        <f t="shared" si="6"/>
        <v>1.7400000000000002</v>
      </c>
      <c r="M95" s="598">
        <f t="shared" si="6"/>
        <v>0.33</v>
      </c>
      <c r="N95" s="588">
        <f t="shared" si="6"/>
        <v>30.779312574080794</v>
      </c>
      <c r="O95" s="597">
        <f t="shared" si="6"/>
        <v>1.8699999999999999</v>
      </c>
      <c r="P95" s="598">
        <f t="shared" si="6"/>
        <v>0.42</v>
      </c>
      <c r="Q95" s="588">
        <f t="shared" si="6"/>
        <v>30.862732629741465</v>
      </c>
      <c r="R95" s="597">
        <f t="shared" si="6"/>
        <v>1.88</v>
      </c>
      <c r="S95" s="598">
        <f t="shared" si="6"/>
        <v>0.4</v>
      </c>
      <c r="T95" s="588">
        <f t="shared" si="6"/>
        <v>30.04374098979962</v>
      </c>
      <c r="U95" s="597">
        <f t="shared" si="6"/>
        <v>1.83</v>
      </c>
      <c r="V95" s="598">
        <f t="shared" si="6"/>
        <v>0.39</v>
      </c>
      <c r="W95" s="588">
        <f t="shared" si="6"/>
        <v>29.382754674298969</v>
      </c>
      <c r="X95" s="597">
        <f t="shared" si="6"/>
        <v>1.79</v>
      </c>
      <c r="Y95" s="598">
        <f t="shared" si="6"/>
        <v>0.38</v>
      </c>
      <c r="Z95" s="588">
        <f t="shared" si="6"/>
        <v>29.889857142328513</v>
      </c>
      <c r="AA95" s="597">
        <f t="shared" si="6"/>
        <v>1.8199999999999998</v>
      </c>
      <c r="AB95" s="598">
        <f t="shared" si="6"/>
        <v>0.39</v>
      </c>
      <c r="AC95" s="588">
        <f t="shared" si="6"/>
        <v>29.909176211421592</v>
      </c>
      <c r="AD95" s="597">
        <f t="shared" si="6"/>
        <v>1.81</v>
      </c>
      <c r="AE95" s="598">
        <f t="shared" si="6"/>
        <v>0.44000000000000006</v>
      </c>
      <c r="AF95" s="588">
        <f t="shared" si="6"/>
        <v>28.410328955332368</v>
      </c>
      <c r="AG95" s="597">
        <f t="shared" si="6"/>
        <v>1.73</v>
      </c>
      <c r="AH95" s="598">
        <f t="shared" si="6"/>
        <v>0.37</v>
      </c>
      <c r="AI95" s="588">
        <f t="shared" si="6"/>
        <v>27.432556018733948</v>
      </c>
      <c r="AJ95" s="597">
        <f t="shared" si="6"/>
        <v>1.67</v>
      </c>
      <c r="AK95" s="598">
        <f t="shared" si="6"/>
        <v>0.36</v>
      </c>
      <c r="AL95" s="588">
        <f t="shared" si="6"/>
        <v>27.623812924195569</v>
      </c>
      <c r="AM95" s="597">
        <f t="shared" si="6"/>
        <v>1.6800000000000002</v>
      </c>
      <c r="AN95" s="598">
        <f t="shared" si="6"/>
        <v>0.37</v>
      </c>
      <c r="AO95" s="588">
        <f t="shared" si="6"/>
        <v>15.588052084471848</v>
      </c>
      <c r="AP95" s="597">
        <f t="shared" si="6"/>
        <v>0.86</v>
      </c>
      <c r="AQ95" s="598">
        <f t="shared" si="6"/>
        <v>0.38</v>
      </c>
      <c r="AR95" s="645"/>
    </row>
    <row r="96" spans="1:67" ht="17.25" thickBot="1" x14ac:dyDescent="0.3">
      <c r="A96" s="1391"/>
      <c r="B96" s="1392"/>
      <c r="C96" s="1393"/>
      <c r="D96" s="1365"/>
      <c r="E96" s="1367"/>
      <c r="F96" s="1462" t="s">
        <v>46</v>
      </c>
      <c r="G96" s="1463"/>
      <c r="H96" s="457">
        <f t="shared" si="6"/>
        <v>494.72076199366802</v>
      </c>
      <c r="I96" s="462">
        <f t="shared" si="6"/>
        <v>8.81</v>
      </c>
      <c r="J96" s="463">
        <f t="shared" si="6"/>
        <v>1.77</v>
      </c>
      <c r="K96" s="457">
        <f t="shared" si="6"/>
        <v>509.08833770962678</v>
      </c>
      <c r="L96" s="462">
        <f t="shared" si="6"/>
        <v>9.0599999999999987</v>
      </c>
      <c r="M96" s="463">
        <f t="shared" si="6"/>
        <v>1.8496864420967571</v>
      </c>
      <c r="N96" s="457">
        <f t="shared" si="6"/>
        <v>541.42418975244573</v>
      </c>
      <c r="O96" s="462">
        <f t="shared" si="6"/>
        <v>9.6199999999999992</v>
      </c>
      <c r="P96" s="463">
        <f t="shared" si="6"/>
        <v>2.0448432210483785</v>
      </c>
      <c r="Q96" s="457">
        <f t="shared" si="6"/>
        <v>544.20232696470134</v>
      </c>
      <c r="R96" s="462">
        <f t="shared" si="6"/>
        <v>9.68</v>
      </c>
      <c r="S96" s="463">
        <f t="shared" si="6"/>
        <v>2.0048432210483789</v>
      </c>
      <c r="T96" s="457">
        <f t="shared" si="6"/>
        <v>555.9024622003908</v>
      </c>
      <c r="U96" s="462">
        <f t="shared" si="6"/>
        <v>9.8999999999999986</v>
      </c>
      <c r="V96" s="463">
        <f t="shared" si="6"/>
        <v>1.989686442096757</v>
      </c>
      <c r="W96" s="457">
        <f t="shared" si="6"/>
        <v>540.20010052789087</v>
      </c>
      <c r="X96" s="462">
        <f t="shared" si="6"/>
        <v>9.5643999999999991</v>
      </c>
      <c r="Y96" s="463">
        <f t="shared" si="6"/>
        <v>2.1936311009699527</v>
      </c>
      <c r="Z96" s="457">
        <f t="shared" si="6"/>
        <v>544.5651478102335</v>
      </c>
      <c r="AA96" s="462">
        <f t="shared" si="6"/>
        <v>9.6999999999999993</v>
      </c>
      <c r="AB96" s="463">
        <f t="shared" si="6"/>
        <v>1.9393728841935143</v>
      </c>
      <c r="AC96" s="457">
        <f t="shared" si="6"/>
        <v>534.09536126235901</v>
      </c>
      <c r="AD96" s="462">
        <f t="shared" si="6"/>
        <v>9.52</v>
      </c>
      <c r="AE96" s="463">
        <f t="shared" si="6"/>
        <v>1.8693728841935142</v>
      </c>
      <c r="AF96" s="457">
        <f t="shared" si="6"/>
        <v>509.9678561091709</v>
      </c>
      <c r="AG96" s="462">
        <f t="shared" si="6"/>
        <v>9.0799999999999983</v>
      </c>
      <c r="AH96" s="463">
        <f t="shared" si="6"/>
        <v>1.8345296631451358</v>
      </c>
      <c r="AI96" s="457">
        <f t="shared" si="6"/>
        <v>491.95026496371599</v>
      </c>
      <c r="AJ96" s="462">
        <f t="shared" si="6"/>
        <v>8.75</v>
      </c>
      <c r="AK96" s="463">
        <f t="shared" si="6"/>
        <v>1.8148432210483785</v>
      </c>
      <c r="AL96" s="457">
        <f t="shared" si="6"/>
        <v>472.21742020600743</v>
      </c>
      <c r="AM96" s="462">
        <f t="shared" si="6"/>
        <v>8.39</v>
      </c>
      <c r="AN96" s="463">
        <f t="shared" si="6"/>
        <v>1.7848432210483787</v>
      </c>
      <c r="AO96" s="457">
        <f t="shared" si="6"/>
        <v>458.95123000874872</v>
      </c>
      <c r="AP96" s="462">
        <f t="shared" si="6"/>
        <v>8.15</v>
      </c>
      <c r="AQ96" s="463">
        <f t="shared" si="6"/>
        <v>1.7548432210483786</v>
      </c>
      <c r="AR96" s="645"/>
    </row>
    <row r="97" spans="1:43" ht="16.5" x14ac:dyDescent="0.25">
      <c r="A97" s="648"/>
      <c r="B97" s="465"/>
      <c r="C97" s="466"/>
      <c r="D97" s="442"/>
      <c r="E97" s="1398"/>
      <c r="F97" s="1398"/>
      <c r="G97" s="467"/>
      <c r="H97" s="438"/>
      <c r="I97" s="438"/>
      <c r="J97" s="438"/>
      <c r="K97" s="438"/>
      <c r="L97" s="438"/>
      <c r="M97" s="438"/>
      <c r="N97" s="438"/>
      <c r="O97" s="438"/>
      <c r="P97" s="438"/>
      <c r="Q97" s="438"/>
      <c r="R97" s="438"/>
      <c r="S97" s="438"/>
      <c r="T97" s="438"/>
      <c r="U97" s="438"/>
      <c r="V97" s="438"/>
      <c r="W97" s="438"/>
      <c r="X97" s="438"/>
      <c r="Y97" s="438"/>
      <c r="Z97" s="438"/>
      <c r="AA97" s="438"/>
      <c r="AB97" s="438"/>
      <c r="AC97" s="438"/>
      <c r="AD97" s="438"/>
      <c r="AE97" s="438"/>
      <c r="AF97" s="438"/>
      <c r="AG97" s="438"/>
      <c r="AH97" s="438"/>
      <c r="AI97" s="438"/>
      <c r="AJ97" s="438"/>
      <c r="AK97" s="438"/>
      <c r="AL97" s="438"/>
      <c r="AM97" s="438"/>
      <c r="AN97" s="438"/>
      <c r="AO97" s="438"/>
      <c r="AP97" s="438"/>
      <c r="AQ97" s="467"/>
    </row>
    <row r="98" spans="1:43" ht="16.5" x14ac:dyDescent="0.25">
      <c r="A98" s="648"/>
      <c r="B98" s="599"/>
      <c r="C98" s="600"/>
      <c r="D98" s="442"/>
      <c r="E98" s="1398"/>
      <c r="F98" s="1398"/>
      <c r="G98" s="467"/>
      <c r="H98" s="438"/>
      <c r="I98" s="438"/>
      <c r="J98" s="438"/>
      <c r="K98" s="438"/>
      <c r="L98" s="438"/>
      <c r="M98" s="438"/>
      <c r="N98" s="438"/>
      <c r="O98" s="438"/>
      <c r="P98" s="438"/>
      <c r="Q98" s="438"/>
      <c r="R98" s="438"/>
      <c r="S98" s="438"/>
      <c r="T98" s="438"/>
      <c r="U98" s="438"/>
      <c r="V98" s="438"/>
      <c r="W98" s="438"/>
      <c r="X98" s="438"/>
      <c r="Y98" s="438"/>
      <c r="Z98" s="438"/>
      <c r="AA98" s="438"/>
      <c r="AB98" s="438"/>
      <c r="AC98" s="438"/>
      <c r="AD98" s="438"/>
      <c r="AE98" s="438"/>
      <c r="AF98" s="438"/>
      <c r="AG98" s="438"/>
      <c r="AH98" s="438"/>
      <c r="AI98" s="438"/>
      <c r="AJ98" s="438"/>
      <c r="AK98" s="438"/>
      <c r="AL98" s="438"/>
      <c r="AM98" s="438"/>
      <c r="AN98" s="438"/>
      <c r="AO98" s="438"/>
      <c r="AP98" s="438"/>
      <c r="AQ98" s="467"/>
    </row>
    <row r="99" spans="1:43" ht="17.25" thickBot="1" x14ac:dyDescent="0.3">
      <c r="A99" s="468"/>
      <c r="B99" s="469"/>
      <c r="C99" s="470"/>
      <c r="D99" s="471"/>
      <c r="E99" s="1384"/>
      <c r="F99" s="1384"/>
      <c r="G99" s="472"/>
      <c r="H99" s="473"/>
      <c r="I99" s="473"/>
      <c r="J99" s="473"/>
      <c r="K99" s="473"/>
      <c r="L99" s="473"/>
      <c r="M99" s="473"/>
      <c r="N99" s="473"/>
      <c r="O99" s="473"/>
      <c r="P99" s="473"/>
      <c r="Q99" s="473"/>
      <c r="R99" s="473"/>
      <c r="S99" s="473"/>
      <c r="T99" s="473"/>
      <c r="U99" s="473"/>
      <c r="V99" s="473"/>
      <c r="W99" s="473"/>
      <c r="X99" s="473"/>
      <c r="Y99" s="473"/>
      <c r="Z99" s="473"/>
      <c r="AA99" s="473"/>
      <c r="AB99" s="473"/>
      <c r="AC99" s="473"/>
      <c r="AD99" s="473"/>
      <c r="AE99" s="473"/>
      <c r="AF99" s="473"/>
      <c r="AG99" s="473"/>
      <c r="AH99" s="473"/>
      <c r="AI99" s="473"/>
      <c r="AJ99" s="473"/>
      <c r="AK99" s="473"/>
      <c r="AL99" s="473"/>
      <c r="AM99" s="473"/>
      <c r="AN99" s="473"/>
      <c r="AO99" s="473"/>
      <c r="AP99" s="473"/>
      <c r="AQ99" s="472"/>
    </row>
    <row r="100" spans="1:43" ht="17.25" thickBot="1" x14ac:dyDescent="0.3">
      <c r="A100" s="474"/>
      <c r="B100" s="475"/>
      <c r="C100" s="475"/>
      <c r="D100" s="476"/>
      <c r="E100" s="477"/>
      <c r="F100" s="476"/>
      <c r="G100" s="477"/>
      <c r="H100" s="478"/>
      <c r="I100" s="476"/>
      <c r="J100" s="476"/>
      <c r="K100" s="478"/>
      <c r="L100" s="476"/>
      <c r="M100" s="476"/>
      <c r="N100" s="478"/>
      <c r="O100" s="476"/>
      <c r="P100" s="476"/>
      <c r="Q100" s="478"/>
      <c r="R100" s="476"/>
      <c r="S100" s="476"/>
      <c r="T100" s="478"/>
      <c r="U100" s="476"/>
      <c r="V100" s="476"/>
      <c r="W100" s="478"/>
      <c r="X100" s="476"/>
      <c r="Y100" s="476"/>
      <c r="Z100" s="478"/>
      <c r="AA100" s="476"/>
      <c r="AB100" s="476"/>
      <c r="AC100" s="478"/>
      <c r="AD100" s="476"/>
      <c r="AE100" s="476"/>
      <c r="AF100" s="478"/>
      <c r="AG100" s="476"/>
      <c r="AH100" s="476"/>
      <c r="AI100" s="478"/>
      <c r="AJ100" s="476"/>
      <c r="AK100" s="476"/>
      <c r="AL100" s="478"/>
      <c r="AM100" s="476"/>
      <c r="AN100" s="476"/>
      <c r="AO100" s="478"/>
      <c r="AP100" s="476"/>
      <c r="AQ100" s="476"/>
    </row>
    <row r="101" spans="1:43" ht="16.5" x14ac:dyDescent="0.25">
      <c r="A101" s="1346" t="s">
        <v>2138</v>
      </c>
      <c r="B101" s="1347"/>
      <c r="C101" s="1347"/>
      <c r="D101" s="1385" t="s">
        <v>22</v>
      </c>
      <c r="E101" s="1386"/>
      <c r="F101" s="1386" t="s">
        <v>23</v>
      </c>
      <c r="G101" s="1387"/>
      <c r="H101" s="1368" t="s">
        <v>112</v>
      </c>
      <c r="I101" s="1369"/>
      <c r="J101" s="1370"/>
      <c r="K101" s="1368" t="s">
        <v>113</v>
      </c>
      <c r="L101" s="1369"/>
      <c r="M101" s="1370"/>
      <c r="N101" s="1368" t="s">
        <v>114</v>
      </c>
      <c r="O101" s="1369"/>
      <c r="P101" s="1370"/>
      <c r="Q101" s="1368" t="s">
        <v>115</v>
      </c>
      <c r="R101" s="1369"/>
      <c r="S101" s="1370"/>
      <c r="T101" s="1368" t="s">
        <v>116</v>
      </c>
      <c r="U101" s="1369"/>
      <c r="V101" s="1370"/>
      <c r="W101" s="1368" t="s">
        <v>117</v>
      </c>
      <c r="X101" s="1369"/>
      <c r="Y101" s="1370"/>
      <c r="Z101" s="1368" t="s">
        <v>118</v>
      </c>
      <c r="AA101" s="1369"/>
      <c r="AB101" s="1370"/>
      <c r="AC101" s="1368" t="s">
        <v>119</v>
      </c>
      <c r="AD101" s="1369"/>
      <c r="AE101" s="1370"/>
      <c r="AF101" s="1368" t="s">
        <v>120</v>
      </c>
      <c r="AG101" s="1369"/>
      <c r="AH101" s="1370"/>
      <c r="AI101" s="1368" t="s">
        <v>121</v>
      </c>
      <c r="AJ101" s="1369"/>
      <c r="AK101" s="1370"/>
      <c r="AL101" s="1368" t="s">
        <v>122</v>
      </c>
      <c r="AM101" s="1369"/>
      <c r="AN101" s="1370"/>
      <c r="AO101" s="1368" t="s">
        <v>5</v>
      </c>
      <c r="AP101" s="1369"/>
      <c r="AQ101" s="1370"/>
    </row>
    <row r="102" spans="1:43" ht="17.25" thickBot="1" x14ac:dyDescent="0.3">
      <c r="A102" s="1374" t="s">
        <v>2176</v>
      </c>
      <c r="B102" s="1375"/>
      <c r="C102" s="1375"/>
      <c r="D102" s="479" t="s">
        <v>24</v>
      </c>
      <c r="E102" s="480" t="s">
        <v>25</v>
      </c>
      <c r="F102" s="481" t="s">
        <v>24</v>
      </c>
      <c r="G102" s="482" t="s">
        <v>25</v>
      </c>
      <c r="H102" s="1371"/>
      <c r="I102" s="1372"/>
      <c r="J102" s="1373"/>
      <c r="K102" s="1371"/>
      <c r="L102" s="1372"/>
      <c r="M102" s="1373"/>
      <c r="N102" s="1371"/>
      <c r="O102" s="1372"/>
      <c r="P102" s="1373"/>
      <c r="Q102" s="1371"/>
      <c r="R102" s="1372"/>
      <c r="S102" s="1373"/>
      <c r="T102" s="1371"/>
      <c r="U102" s="1372"/>
      <c r="V102" s="1373"/>
      <c r="W102" s="1371"/>
      <c r="X102" s="1372"/>
      <c r="Y102" s="1373"/>
      <c r="Z102" s="1371"/>
      <c r="AA102" s="1372"/>
      <c r="AB102" s="1373"/>
      <c r="AC102" s="1371"/>
      <c r="AD102" s="1372"/>
      <c r="AE102" s="1373"/>
      <c r="AF102" s="1371"/>
      <c r="AG102" s="1372"/>
      <c r="AH102" s="1373"/>
      <c r="AI102" s="1371"/>
      <c r="AJ102" s="1372"/>
      <c r="AK102" s="1373"/>
      <c r="AL102" s="1371"/>
      <c r="AM102" s="1372"/>
      <c r="AN102" s="1373"/>
      <c r="AO102" s="1371"/>
      <c r="AP102" s="1372"/>
      <c r="AQ102" s="1373"/>
    </row>
    <row r="103" spans="1:43" s="433" customFormat="1" ht="16.5" customHeight="1" x14ac:dyDescent="0.25">
      <c r="A103" s="493" t="s">
        <v>2177</v>
      </c>
      <c r="B103" s="494" t="s">
        <v>2178</v>
      </c>
      <c r="C103" s="495"/>
      <c r="D103" s="496"/>
      <c r="E103" s="497"/>
      <c r="F103" s="498"/>
      <c r="G103" s="499"/>
      <c r="H103" s="613">
        <f>SQRT(I103^2+J103^2)*1000/(1.73*H83)</f>
        <v>9.7667991815963688</v>
      </c>
      <c r="I103" s="611">
        <v>0.6</v>
      </c>
      <c r="J103" s="612">
        <v>0.1</v>
      </c>
      <c r="K103" s="613">
        <f>SQRT(L103^2+M103^2)*1000/(1.73*K83)</f>
        <v>10.958500662011275</v>
      </c>
      <c r="L103" s="611">
        <v>0.67</v>
      </c>
      <c r="M103" s="612">
        <v>0.13</v>
      </c>
      <c r="N103" s="613">
        <f>SQRT(O103^2+P103^2)*1000/(1.73*N83)</f>
        <v>11.916490247449886</v>
      </c>
      <c r="O103" s="611">
        <v>0.72</v>
      </c>
      <c r="P103" s="612">
        <v>0.18</v>
      </c>
      <c r="Q103" s="613">
        <f>SQRT(R103^2+S103^2)*1000/(1.73*Q83)</f>
        <v>11.842703220671661</v>
      </c>
      <c r="R103" s="611">
        <v>0.72</v>
      </c>
      <c r="S103" s="612">
        <v>0.16</v>
      </c>
      <c r="T103" s="613">
        <f>SQRT(U103^2+V103^2)*1000/(1.73*T83)</f>
        <v>11.180918663168711</v>
      </c>
      <c r="U103" s="611">
        <v>0.68</v>
      </c>
      <c r="V103" s="612">
        <v>0.15</v>
      </c>
      <c r="W103" s="613">
        <f>SQRT(X103^2+Y103^2)*1000/(1.73*W83)</f>
        <v>11.024177195743015</v>
      </c>
      <c r="X103" s="611">
        <v>0.67</v>
      </c>
      <c r="Y103" s="612">
        <v>0.15</v>
      </c>
      <c r="Z103" s="613">
        <f>SQRT(AA103^2+AB103^2)*1000/(1.73*Z83)</f>
        <v>11.216601924581234</v>
      </c>
      <c r="AA103" s="611">
        <v>0.68</v>
      </c>
      <c r="AB103" s="612">
        <v>0.16</v>
      </c>
      <c r="AC103" s="613">
        <f>SQRT(AD103^2+AE103^2)*1000/(1.73*AC83)</f>
        <v>11.216601924581234</v>
      </c>
      <c r="AD103" s="611">
        <v>0.68</v>
      </c>
      <c r="AE103" s="612">
        <v>0.16</v>
      </c>
      <c r="AF103" s="613">
        <f>SQRT(AG103^2+AH103^2)*1000/(1.73*AF83)</f>
        <v>10.398378200829915</v>
      </c>
      <c r="AG103" s="611">
        <v>0.63</v>
      </c>
      <c r="AH103" s="612">
        <v>0.15</v>
      </c>
      <c r="AI103" s="613">
        <f>SQRT(AJ103^2+AK103^2)*1000/(1.73*AI83)</f>
        <v>9.8926922291261175</v>
      </c>
      <c r="AJ103" s="611">
        <v>0.6</v>
      </c>
      <c r="AK103" s="612">
        <v>0.14000000000000001</v>
      </c>
      <c r="AL103" s="613">
        <f>SQRT(AM103^2+AN103^2)*1000/(1.73*AL83)</f>
        <v>10.398378200829915</v>
      </c>
      <c r="AM103" s="611">
        <v>0.63</v>
      </c>
      <c r="AN103" s="612">
        <v>0.15</v>
      </c>
      <c r="AO103" s="613">
        <f>SQRT(AP103^2+AQ103^2)*1000/(1.73*AO83)</f>
        <v>10.59243577551101</v>
      </c>
      <c r="AP103" s="611">
        <v>0.64</v>
      </c>
      <c r="AQ103" s="612">
        <v>0.16</v>
      </c>
    </row>
    <row r="104" spans="1:43" s="433" customFormat="1" ht="16.5" customHeight="1" thickBot="1" x14ac:dyDescent="0.3">
      <c r="A104" s="493" t="s">
        <v>2177</v>
      </c>
      <c r="B104" s="494" t="s">
        <v>2179</v>
      </c>
      <c r="C104" s="495"/>
      <c r="D104" s="496"/>
      <c r="E104" s="497"/>
      <c r="F104" s="498"/>
      <c r="G104" s="499"/>
      <c r="H104" s="503">
        <f>SQRT(I104^2+J104^2)*1000/(1.73*H91)</f>
        <v>16.847106914086368</v>
      </c>
      <c r="I104" s="504">
        <v>1.03</v>
      </c>
      <c r="J104" s="505">
        <v>0.2</v>
      </c>
      <c r="K104" s="503">
        <f>SQRT(L104^2+M104^2)*1000/(1.73*K91)</f>
        <v>17.478020558182148</v>
      </c>
      <c r="L104" s="504">
        <v>1.07</v>
      </c>
      <c r="M104" s="505">
        <v>0.2</v>
      </c>
      <c r="N104" s="503">
        <f>SQRT(O104^2+P104^2)*1000/(1.73*N91)</f>
        <v>18.862822326630909</v>
      </c>
      <c r="O104" s="504">
        <v>1.1499999999999999</v>
      </c>
      <c r="P104" s="505">
        <v>0.24</v>
      </c>
      <c r="Q104" s="503">
        <f>SQRT(R104^2+S104^2)*1000/(1.73*Q91)</f>
        <v>19.020029409069807</v>
      </c>
      <c r="R104" s="504">
        <v>1.1599999999999999</v>
      </c>
      <c r="S104" s="505">
        <v>0.24</v>
      </c>
      <c r="T104" s="503">
        <f>SQRT(U104^2+V104^2)*1000/(1.73*T91)</f>
        <v>18.862822326630909</v>
      </c>
      <c r="U104" s="504">
        <v>1.1499999999999999</v>
      </c>
      <c r="V104" s="505">
        <v>0.24</v>
      </c>
      <c r="W104" s="503">
        <f>SQRT(X104^2+Y104^2)*1000/(1.73*W91)</f>
        <v>18.358577478555954</v>
      </c>
      <c r="X104" s="504">
        <v>1.1200000000000001</v>
      </c>
      <c r="Y104" s="505">
        <v>0.23</v>
      </c>
      <c r="Z104" s="503">
        <f>SQRT(AA104^2+AB104^2)*1000/(1.73*Z91)</f>
        <v>18.673255217747279</v>
      </c>
      <c r="AA104" s="504">
        <v>1.1399999999999999</v>
      </c>
      <c r="AB104" s="505">
        <v>0.23</v>
      </c>
      <c r="AC104" s="503">
        <f>SQRT(AD104^2+AE104^2)*1000/(1.73*AC91)</f>
        <v>18.692574286840358</v>
      </c>
      <c r="AD104" s="504">
        <v>1.1299999999999999</v>
      </c>
      <c r="AE104" s="505">
        <v>0.28000000000000003</v>
      </c>
      <c r="AF104" s="503">
        <f>SQRT(AG104^2+AH104^2)*1000/(1.73*AF91)</f>
        <v>18.01195075450245</v>
      </c>
      <c r="AG104" s="504">
        <v>1.1000000000000001</v>
      </c>
      <c r="AH104" s="505">
        <v>0.22</v>
      </c>
      <c r="AI104" s="503">
        <f>SQRT(AJ104^2+AK104^2)*1000/(1.73*AI91)</f>
        <v>17.539863789607828</v>
      </c>
      <c r="AJ104" s="504">
        <v>1.07</v>
      </c>
      <c r="AK104" s="505">
        <v>0.22</v>
      </c>
      <c r="AL104" s="503">
        <f>SQRT(AM104^2+AN104^2)*1000/(1.73*AL91)</f>
        <v>17.225434723365652</v>
      </c>
      <c r="AM104" s="504">
        <v>1.05</v>
      </c>
      <c r="AN104" s="505">
        <v>0.22</v>
      </c>
      <c r="AO104" s="503">
        <f>SQRT(AP104^2+AQ104^2)*1000/(1.73*AO91)</f>
        <v>4.9956163089608365</v>
      </c>
      <c r="AP104" s="504">
        <v>0.22</v>
      </c>
      <c r="AQ104" s="505">
        <v>0.22</v>
      </c>
    </row>
    <row r="105" spans="1:43" s="433" customFormat="1" ht="16.5" customHeight="1" x14ac:dyDescent="0.25">
      <c r="A105" s="1376" t="s">
        <v>2180</v>
      </c>
      <c r="B105" s="1377"/>
      <c r="C105" s="1377"/>
      <c r="D105" s="1377"/>
      <c r="E105" s="1377"/>
      <c r="F105" s="1377"/>
      <c r="G105" s="1378"/>
      <c r="H105" s="490">
        <f>H103</f>
        <v>9.7667991815963688</v>
      </c>
      <c r="I105" s="491">
        <f t="shared" ref="I105:AQ106" si="7">I103</f>
        <v>0.6</v>
      </c>
      <c r="J105" s="492">
        <f t="shared" si="7"/>
        <v>0.1</v>
      </c>
      <c r="K105" s="490">
        <f t="shared" si="7"/>
        <v>10.958500662011275</v>
      </c>
      <c r="L105" s="491">
        <f t="shared" si="7"/>
        <v>0.67</v>
      </c>
      <c r="M105" s="492">
        <f t="shared" si="7"/>
        <v>0.13</v>
      </c>
      <c r="N105" s="490">
        <f t="shared" si="7"/>
        <v>11.916490247449886</v>
      </c>
      <c r="O105" s="491">
        <f t="shared" si="7"/>
        <v>0.72</v>
      </c>
      <c r="P105" s="492">
        <f t="shared" si="7"/>
        <v>0.18</v>
      </c>
      <c r="Q105" s="490">
        <f t="shared" si="7"/>
        <v>11.842703220671661</v>
      </c>
      <c r="R105" s="491">
        <f t="shared" si="7"/>
        <v>0.72</v>
      </c>
      <c r="S105" s="492">
        <f t="shared" si="7"/>
        <v>0.16</v>
      </c>
      <c r="T105" s="490">
        <f t="shared" si="7"/>
        <v>11.180918663168711</v>
      </c>
      <c r="U105" s="491">
        <f t="shared" si="7"/>
        <v>0.68</v>
      </c>
      <c r="V105" s="492">
        <f t="shared" si="7"/>
        <v>0.15</v>
      </c>
      <c r="W105" s="490">
        <f t="shared" si="7"/>
        <v>11.024177195743015</v>
      </c>
      <c r="X105" s="491">
        <f t="shared" si="7"/>
        <v>0.67</v>
      </c>
      <c r="Y105" s="492">
        <f t="shared" si="7"/>
        <v>0.15</v>
      </c>
      <c r="Z105" s="490">
        <f t="shared" si="7"/>
        <v>11.216601924581234</v>
      </c>
      <c r="AA105" s="491">
        <f t="shared" si="7"/>
        <v>0.68</v>
      </c>
      <c r="AB105" s="492">
        <f t="shared" si="7"/>
        <v>0.16</v>
      </c>
      <c r="AC105" s="490">
        <f t="shared" si="7"/>
        <v>11.216601924581234</v>
      </c>
      <c r="AD105" s="491">
        <f t="shared" si="7"/>
        <v>0.68</v>
      </c>
      <c r="AE105" s="492">
        <f t="shared" si="7"/>
        <v>0.16</v>
      </c>
      <c r="AF105" s="490">
        <f t="shared" si="7"/>
        <v>10.398378200829915</v>
      </c>
      <c r="AG105" s="491">
        <f t="shared" si="7"/>
        <v>0.63</v>
      </c>
      <c r="AH105" s="492">
        <f t="shared" si="7"/>
        <v>0.15</v>
      </c>
      <c r="AI105" s="490">
        <f t="shared" si="7"/>
        <v>9.8926922291261175</v>
      </c>
      <c r="AJ105" s="491">
        <f t="shared" si="7"/>
        <v>0.6</v>
      </c>
      <c r="AK105" s="492">
        <f t="shared" si="7"/>
        <v>0.14000000000000001</v>
      </c>
      <c r="AL105" s="490">
        <f t="shared" si="7"/>
        <v>10.398378200829915</v>
      </c>
      <c r="AM105" s="491">
        <f t="shared" si="7"/>
        <v>0.63</v>
      </c>
      <c r="AN105" s="492">
        <f t="shared" si="7"/>
        <v>0.15</v>
      </c>
      <c r="AO105" s="490">
        <f t="shared" si="7"/>
        <v>10.59243577551101</v>
      </c>
      <c r="AP105" s="491">
        <f t="shared" si="7"/>
        <v>0.64</v>
      </c>
      <c r="AQ105" s="492">
        <f t="shared" si="7"/>
        <v>0.16</v>
      </c>
    </row>
    <row r="106" spans="1:43" s="433" customFormat="1" ht="16.5" customHeight="1" thickBot="1" x14ac:dyDescent="0.3">
      <c r="A106" s="1379" t="s">
        <v>2181</v>
      </c>
      <c r="B106" s="1380"/>
      <c r="C106" s="1380"/>
      <c r="D106" s="1380"/>
      <c r="E106" s="1380"/>
      <c r="F106" s="1380"/>
      <c r="G106" s="1381"/>
      <c r="H106" s="519">
        <f>H104</f>
        <v>16.847106914086368</v>
      </c>
      <c r="I106" s="520">
        <f t="shared" si="7"/>
        <v>1.03</v>
      </c>
      <c r="J106" s="521">
        <f t="shared" si="7"/>
        <v>0.2</v>
      </c>
      <c r="K106" s="519">
        <f t="shared" si="7"/>
        <v>17.478020558182148</v>
      </c>
      <c r="L106" s="520">
        <f t="shared" si="7"/>
        <v>1.07</v>
      </c>
      <c r="M106" s="521">
        <f t="shared" si="7"/>
        <v>0.2</v>
      </c>
      <c r="N106" s="519">
        <f t="shared" si="7"/>
        <v>18.862822326630909</v>
      </c>
      <c r="O106" s="520">
        <f t="shared" si="7"/>
        <v>1.1499999999999999</v>
      </c>
      <c r="P106" s="521">
        <f t="shared" si="7"/>
        <v>0.24</v>
      </c>
      <c r="Q106" s="519">
        <f t="shared" si="7"/>
        <v>19.020029409069807</v>
      </c>
      <c r="R106" s="520">
        <f t="shared" si="7"/>
        <v>1.1599999999999999</v>
      </c>
      <c r="S106" s="521">
        <f t="shared" si="7"/>
        <v>0.24</v>
      </c>
      <c r="T106" s="519">
        <f t="shared" si="7"/>
        <v>18.862822326630909</v>
      </c>
      <c r="U106" s="520">
        <f t="shared" si="7"/>
        <v>1.1499999999999999</v>
      </c>
      <c r="V106" s="521">
        <f t="shared" si="7"/>
        <v>0.24</v>
      </c>
      <c r="W106" s="519">
        <f t="shared" si="7"/>
        <v>18.358577478555954</v>
      </c>
      <c r="X106" s="520">
        <f t="shared" si="7"/>
        <v>1.1200000000000001</v>
      </c>
      <c r="Y106" s="521">
        <f t="shared" si="7"/>
        <v>0.23</v>
      </c>
      <c r="Z106" s="519">
        <f t="shared" si="7"/>
        <v>18.673255217747279</v>
      </c>
      <c r="AA106" s="520">
        <f t="shared" si="7"/>
        <v>1.1399999999999999</v>
      </c>
      <c r="AB106" s="521">
        <f t="shared" si="7"/>
        <v>0.23</v>
      </c>
      <c r="AC106" s="519">
        <f t="shared" si="7"/>
        <v>18.692574286840358</v>
      </c>
      <c r="AD106" s="520">
        <f t="shared" si="7"/>
        <v>1.1299999999999999</v>
      </c>
      <c r="AE106" s="521">
        <f t="shared" si="7"/>
        <v>0.28000000000000003</v>
      </c>
      <c r="AF106" s="519">
        <f t="shared" si="7"/>
        <v>18.01195075450245</v>
      </c>
      <c r="AG106" s="520">
        <f t="shared" si="7"/>
        <v>1.1000000000000001</v>
      </c>
      <c r="AH106" s="521">
        <f t="shared" si="7"/>
        <v>0.22</v>
      </c>
      <c r="AI106" s="519">
        <f t="shared" si="7"/>
        <v>17.539863789607828</v>
      </c>
      <c r="AJ106" s="520">
        <f t="shared" si="7"/>
        <v>1.07</v>
      </c>
      <c r="AK106" s="521">
        <f t="shared" si="7"/>
        <v>0.22</v>
      </c>
      <c r="AL106" s="519">
        <f t="shared" si="7"/>
        <v>17.225434723365652</v>
      </c>
      <c r="AM106" s="520">
        <f t="shared" si="7"/>
        <v>1.05</v>
      </c>
      <c r="AN106" s="521">
        <f t="shared" si="7"/>
        <v>0.22</v>
      </c>
      <c r="AO106" s="519">
        <f t="shared" si="7"/>
        <v>4.9956163089608365</v>
      </c>
      <c r="AP106" s="520">
        <f t="shared" si="7"/>
        <v>0.22</v>
      </c>
      <c r="AQ106" s="521">
        <f t="shared" si="7"/>
        <v>0.22</v>
      </c>
    </row>
    <row r="107" spans="1:43" s="433" customFormat="1" ht="16.5" customHeight="1" thickBot="1" x14ac:dyDescent="0.3">
      <c r="A107" s="1382" t="s">
        <v>2182</v>
      </c>
      <c r="B107" s="1383"/>
      <c r="C107" s="1383"/>
      <c r="D107" s="1383"/>
      <c r="E107" s="1383"/>
      <c r="F107" s="1383"/>
      <c r="G107" s="1383"/>
      <c r="H107" s="525">
        <f>H105+H106</f>
        <v>26.613906095682736</v>
      </c>
      <c r="I107" s="526">
        <f>I105+I106</f>
        <v>1.63</v>
      </c>
      <c r="J107" s="527">
        <f>J105+J106</f>
        <v>0.30000000000000004</v>
      </c>
      <c r="K107" s="525">
        <f t="shared" ref="K107:AQ107" si="8">K105+K106</f>
        <v>28.436521220193423</v>
      </c>
      <c r="L107" s="526">
        <f t="shared" si="8"/>
        <v>1.7400000000000002</v>
      </c>
      <c r="M107" s="527">
        <f t="shared" si="8"/>
        <v>0.33</v>
      </c>
      <c r="N107" s="525">
        <f t="shared" si="8"/>
        <v>30.779312574080794</v>
      </c>
      <c r="O107" s="526">
        <f t="shared" si="8"/>
        <v>1.8699999999999999</v>
      </c>
      <c r="P107" s="527">
        <f t="shared" si="8"/>
        <v>0.42</v>
      </c>
      <c r="Q107" s="525">
        <f t="shared" si="8"/>
        <v>30.862732629741465</v>
      </c>
      <c r="R107" s="526">
        <f t="shared" si="8"/>
        <v>1.88</v>
      </c>
      <c r="S107" s="527">
        <f t="shared" si="8"/>
        <v>0.4</v>
      </c>
      <c r="T107" s="525">
        <f t="shared" si="8"/>
        <v>30.04374098979962</v>
      </c>
      <c r="U107" s="526">
        <f t="shared" si="8"/>
        <v>1.83</v>
      </c>
      <c r="V107" s="527">
        <f t="shared" si="8"/>
        <v>0.39</v>
      </c>
      <c r="W107" s="525">
        <f t="shared" si="8"/>
        <v>29.382754674298969</v>
      </c>
      <c r="X107" s="526">
        <f t="shared" si="8"/>
        <v>1.79</v>
      </c>
      <c r="Y107" s="527">
        <f t="shared" si="8"/>
        <v>0.38</v>
      </c>
      <c r="Z107" s="525">
        <f t="shared" si="8"/>
        <v>29.889857142328513</v>
      </c>
      <c r="AA107" s="526">
        <f t="shared" si="8"/>
        <v>1.8199999999999998</v>
      </c>
      <c r="AB107" s="527">
        <f t="shared" si="8"/>
        <v>0.39</v>
      </c>
      <c r="AC107" s="525">
        <f t="shared" si="8"/>
        <v>29.909176211421592</v>
      </c>
      <c r="AD107" s="526">
        <f t="shared" si="8"/>
        <v>1.81</v>
      </c>
      <c r="AE107" s="527">
        <f t="shared" si="8"/>
        <v>0.44000000000000006</v>
      </c>
      <c r="AF107" s="525">
        <f t="shared" si="8"/>
        <v>28.410328955332368</v>
      </c>
      <c r="AG107" s="526">
        <f t="shared" si="8"/>
        <v>1.73</v>
      </c>
      <c r="AH107" s="527">
        <f t="shared" si="8"/>
        <v>0.37</v>
      </c>
      <c r="AI107" s="525">
        <f t="shared" si="8"/>
        <v>27.432556018733948</v>
      </c>
      <c r="AJ107" s="526">
        <f t="shared" si="8"/>
        <v>1.67</v>
      </c>
      <c r="AK107" s="527">
        <f t="shared" si="8"/>
        <v>0.36</v>
      </c>
      <c r="AL107" s="525">
        <f t="shared" si="8"/>
        <v>27.623812924195569</v>
      </c>
      <c r="AM107" s="526">
        <f t="shared" si="8"/>
        <v>1.6800000000000002</v>
      </c>
      <c r="AN107" s="527">
        <f t="shared" si="8"/>
        <v>0.37</v>
      </c>
      <c r="AO107" s="525">
        <f t="shared" si="8"/>
        <v>15.588052084471848</v>
      </c>
      <c r="AP107" s="526">
        <f t="shared" si="8"/>
        <v>0.86</v>
      </c>
      <c r="AQ107" s="527">
        <f t="shared" si="8"/>
        <v>0.38</v>
      </c>
    </row>
    <row r="108" spans="1:43" ht="17.25" thickBot="1" x14ac:dyDescent="0.3">
      <c r="A108" s="442"/>
      <c r="B108" s="619"/>
      <c r="C108" s="619"/>
      <c r="D108" s="620"/>
      <c r="E108" s="477"/>
      <c r="F108" s="620"/>
      <c r="G108" s="620"/>
      <c r="H108" s="621"/>
      <c r="I108" s="622"/>
      <c r="J108" s="622"/>
      <c r="K108" s="621"/>
      <c r="L108" s="622"/>
      <c r="M108" s="622"/>
      <c r="N108" s="621"/>
      <c r="O108" s="622"/>
      <c r="P108" s="622"/>
      <c r="Q108" s="621"/>
      <c r="R108" s="622"/>
      <c r="S108" s="622"/>
      <c r="T108" s="621"/>
      <c r="U108" s="622"/>
      <c r="V108" s="622"/>
      <c r="W108" s="621"/>
      <c r="X108" s="622"/>
      <c r="Y108" s="622"/>
      <c r="Z108" s="621"/>
      <c r="AA108" s="622"/>
      <c r="AB108" s="622"/>
      <c r="AC108" s="621"/>
      <c r="AD108" s="622"/>
      <c r="AE108" s="622"/>
      <c r="AF108" s="621"/>
      <c r="AG108" s="622"/>
      <c r="AH108" s="622"/>
      <c r="AI108" s="621"/>
      <c r="AJ108" s="622"/>
      <c r="AK108" s="622"/>
      <c r="AL108" s="621"/>
      <c r="AM108" s="622"/>
      <c r="AN108" s="622"/>
      <c r="AO108" s="621"/>
      <c r="AP108" s="622"/>
      <c r="AQ108" s="622"/>
    </row>
    <row r="109" spans="1:43" ht="16.5" x14ac:dyDescent="0.25">
      <c r="A109" s="1346" t="s">
        <v>2138</v>
      </c>
      <c r="B109" s="1347"/>
      <c r="C109" s="1347"/>
      <c r="D109" s="1385" t="s">
        <v>22</v>
      </c>
      <c r="E109" s="1386"/>
      <c r="F109" s="1386" t="s">
        <v>23</v>
      </c>
      <c r="G109" s="1387"/>
      <c r="H109" s="1368" t="s">
        <v>112</v>
      </c>
      <c r="I109" s="1369"/>
      <c r="J109" s="1370"/>
      <c r="K109" s="1368" t="s">
        <v>113</v>
      </c>
      <c r="L109" s="1369"/>
      <c r="M109" s="1370"/>
      <c r="N109" s="1368" t="s">
        <v>114</v>
      </c>
      <c r="O109" s="1369"/>
      <c r="P109" s="1370"/>
      <c r="Q109" s="1368" t="s">
        <v>115</v>
      </c>
      <c r="R109" s="1369"/>
      <c r="S109" s="1370"/>
      <c r="T109" s="1368" t="s">
        <v>116</v>
      </c>
      <c r="U109" s="1369"/>
      <c r="V109" s="1370"/>
      <c r="W109" s="1368" t="s">
        <v>117</v>
      </c>
      <c r="X109" s="1369"/>
      <c r="Y109" s="1370"/>
      <c r="Z109" s="1368" t="s">
        <v>118</v>
      </c>
      <c r="AA109" s="1369"/>
      <c r="AB109" s="1370"/>
      <c r="AC109" s="1368" t="s">
        <v>119</v>
      </c>
      <c r="AD109" s="1369"/>
      <c r="AE109" s="1370"/>
      <c r="AF109" s="1368" t="s">
        <v>120</v>
      </c>
      <c r="AG109" s="1369"/>
      <c r="AH109" s="1370"/>
      <c r="AI109" s="1368" t="s">
        <v>121</v>
      </c>
      <c r="AJ109" s="1369"/>
      <c r="AK109" s="1370"/>
      <c r="AL109" s="1368" t="s">
        <v>122</v>
      </c>
      <c r="AM109" s="1369"/>
      <c r="AN109" s="1370"/>
      <c r="AO109" s="1368" t="s">
        <v>5</v>
      </c>
      <c r="AP109" s="1369"/>
      <c r="AQ109" s="1370"/>
    </row>
    <row r="110" spans="1:43" ht="17.25" thickBot="1" x14ac:dyDescent="0.3">
      <c r="A110" s="1374" t="s">
        <v>2139</v>
      </c>
      <c r="B110" s="1375"/>
      <c r="C110" s="1375"/>
      <c r="D110" s="479" t="s">
        <v>24</v>
      </c>
      <c r="E110" s="480" t="s">
        <v>25</v>
      </c>
      <c r="F110" s="481" t="s">
        <v>24</v>
      </c>
      <c r="G110" s="482" t="s">
        <v>25</v>
      </c>
      <c r="H110" s="1371"/>
      <c r="I110" s="1372"/>
      <c r="J110" s="1373"/>
      <c r="K110" s="1371"/>
      <c r="L110" s="1372"/>
      <c r="M110" s="1373"/>
      <c r="N110" s="1371"/>
      <c r="O110" s="1372"/>
      <c r="P110" s="1373"/>
      <c r="Q110" s="1371"/>
      <c r="R110" s="1372"/>
      <c r="S110" s="1373"/>
      <c r="T110" s="1371"/>
      <c r="U110" s="1372"/>
      <c r="V110" s="1373"/>
      <c r="W110" s="1371"/>
      <c r="X110" s="1372"/>
      <c r="Y110" s="1373"/>
      <c r="Z110" s="1371"/>
      <c r="AA110" s="1372"/>
      <c r="AB110" s="1373"/>
      <c r="AC110" s="1371"/>
      <c r="AD110" s="1372"/>
      <c r="AE110" s="1373"/>
      <c r="AF110" s="1371"/>
      <c r="AG110" s="1372"/>
      <c r="AH110" s="1373"/>
      <c r="AI110" s="1371"/>
      <c r="AJ110" s="1372"/>
      <c r="AK110" s="1373"/>
      <c r="AL110" s="1371"/>
      <c r="AM110" s="1372"/>
      <c r="AN110" s="1373"/>
      <c r="AO110" s="1371"/>
      <c r="AP110" s="1372"/>
      <c r="AQ110" s="1373"/>
    </row>
    <row r="111" spans="1:43" s="433" customFormat="1" ht="16.5" customHeight="1" x14ac:dyDescent="0.25">
      <c r="A111" s="483" t="s">
        <v>511</v>
      </c>
      <c r="B111" s="484" t="s">
        <v>2183</v>
      </c>
      <c r="C111" s="485"/>
      <c r="D111" s="486"/>
      <c r="E111" s="487"/>
      <c r="F111" s="488"/>
      <c r="G111" s="489"/>
      <c r="H111" s="623">
        <f>SQRT(I111^2+J111^2)*1000/(1.73*H84)</f>
        <v>1.1010184420589046</v>
      </c>
      <c r="I111" s="624">
        <v>0.02</v>
      </c>
      <c r="J111" s="502">
        <v>0</v>
      </c>
      <c r="K111" s="623">
        <f>SQRT(L111^2+M111^2)*1000/(1.73*K84)</f>
        <v>1.1010184420589046</v>
      </c>
      <c r="L111" s="624">
        <v>0.02</v>
      </c>
      <c r="M111" s="502">
        <v>0</v>
      </c>
      <c r="N111" s="623">
        <f>SQRT(O111^2+P111^2)*1000/(1.73*N84)</f>
        <v>1.6515276630883569</v>
      </c>
      <c r="O111" s="624">
        <v>0.03</v>
      </c>
      <c r="P111" s="502">
        <v>0</v>
      </c>
      <c r="Q111" s="623">
        <f>SQRT(R111^2+S111^2)*1000/(1.73*Q84)</f>
        <v>1.6515276630883569</v>
      </c>
      <c r="R111" s="624">
        <v>0.03</v>
      </c>
      <c r="S111" s="502">
        <v>0</v>
      </c>
      <c r="T111" s="623">
        <f>SQRT(U111^2+V111^2)*1000/(1.73*T84)</f>
        <v>1.6515276630883569</v>
      </c>
      <c r="U111" s="624">
        <v>0.03</v>
      </c>
      <c r="V111" s="502">
        <v>0</v>
      </c>
      <c r="W111" s="623">
        <f>SQRT(X111^2+Y111^2)*1000/(1.73*W84)</f>
        <v>1.6515276630883569</v>
      </c>
      <c r="X111" s="624">
        <v>0.03</v>
      </c>
      <c r="Y111" s="502">
        <v>0</v>
      </c>
      <c r="Z111" s="623">
        <f>SQRT(AA111^2+AB111^2)*1000/(1.73*Z84)</f>
        <v>1.6515276630883569</v>
      </c>
      <c r="AA111" s="624">
        <v>0.03</v>
      </c>
      <c r="AB111" s="502">
        <v>0</v>
      </c>
      <c r="AC111" s="623">
        <f>SQRT(AD111^2+AE111^2)*1000/(1.73*AC84)</f>
        <v>1.6515276630883569</v>
      </c>
      <c r="AD111" s="624">
        <v>0.03</v>
      </c>
      <c r="AE111" s="502">
        <v>0</v>
      </c>
      <c r="AF111" s="623">
        <f>SQRT(AG111^2+AH111^2)*1000/(1.73*AF84)</f>
        <v>1.1010184420589046</v>
      </c>
      <c r="AG111" s="624">
        <v>0.02</v>
      </c>
      <c r="AH111" s="502">
        <v>0</v>
      </c>
      <c r="AI111" s="623">
        <f>SQRT(AJ111^2+AK111^2)*1000/(1.73*AI84)</f>
        <v>1.1010184420589046</v>
      </c>
      <c r="AJ111" s="624">
        <v>0.02</v>
      </c>
      <c r="AK111" s="502">
        <v>0</v>
      </c>
      <c r="AL111" s="623">
        <f>SQRT(AM111^2+AN111^2)*1000/(1.73*AL84)</f>
        <v>1.1010184420589046</v>
      </c>
      <c r="AM111" s="624">
        <v>0.02</v>
      </c>
      <c r="AN111" s="502">
        <v>0</v>
      </c>
      <c r="AO111" s="623">
        <f>SQRT(AP111^2+AQ111^2)*1000/(1.73*AO84)</f>
        <v>1.1010184420589046</v>
      </c>
      <c r="AP111" s="624">
        <v>0.02</v>
      </c>
      <c r="AQ111" s="502">
        <v>0</v>
      </c>
    </row>
    <row r="112" spans="1:43" s="433" customFormat="1" ht="16.5" customHeight="1" x14ac:dyDescent="0.25">
      <c r="A112" s="493" t="s">
        <v>562</v>
      </c>
      <c r="B112" s="494" t="s">
        <v>2184</v>
      </c>
      <c r="C112" s="495"/>
      <c r="D112" s="496"/>
      <c r="E112" s="497"/>
      <c r="F112" s="498"/>
      <c r="G112" s="499"/>
      <c r="H112" s="623">
        <f>SQRT(I112^2+J112^2)*1000/(1.73*H84)</f>
        <v>78.930429448516904</v>
      </c>
      <c r="I112" s="624">
        <v>1.41</v>
      </c>
      <c r="J112" s="625">
        <v>0.26</v>
      </c>
      <c r="K112" s="623">
        <f>SQRT(L112^2+M112^2)*1000/(1.73*K84)</f>
        <v>80.555132282258626</v>
      </c>
      <c r="L112" s="624">
        <v>1.44</v>
      </c>
      <c r="M112" s="625">
        <v>0.26</v>
      </c>
      <c r="N112" s="623">
        <f>SQRT(O112^2+P112^2)*1000/(1.73*N84)</f>
        <v>85.399933165555836</v>
      </c>
      <c r="O112" s="624">
        <v>1.52</v>
      </c>
      <c r="P112" s="625">
        <v>0.31</v>
      </c>
      <c r="Q112" s="623">
        <f>SQRT(R112^2+S112^2)*1000/(1.73*Q84)</f>
        <v>88.638822945800271</v>
      </c>
      <c r="R112" s="624">
        <v>1.58</v>
      </c>
      <c r="S112" s="625">
        <v>0.31</v>
      </c>
      <c r="T112" s="623">
        <f>SQRT(U112^2+V112^2)*1000/(1.73*T84)</f>
        <v>91.341408348736593</v>
      </c>
      <c r="U112" s="624">
        <v>1.63</v>
      </c>
      <c r="V112" s="625">
        <v>0.31</v>
      </c>
      <c r="W112" s="623">
        <f>SQRT(X112^2+Y112^2)*1000/(1.73*W84)</f>
        <v>91.341408348736593</v>
      </c>
      <c r="X112" s="624">
        <v>1.63</v>
      </c>
      <c r="Y112" s="625">
        <v>0.31</v>
      </c>
      <c r="Z112" s="623">
        <f>SQRT(AA112^2+AB112^2)*1000/(1.73*Z84)</f>
        <v>90.260011845504039</v>
      </c>
      <c r="AA112" s="624">
        <v>1.61</v>
      </c>
      <c r="AB112" s="625">
        <v>0.31</v>
      </c>
      <c r="AC112" s="623">
        <f>SQRT(AD112^2+AE112^2)*1000/(1.73*AC84)</f>
        <v>88.534480563609691</v>
      </c>
      <c r="AD112" s="624">
        <v>1.58</v>
      </c>
      <c r="AE112" s="625">
        <v>0.3</v>
      </c>
      <c r="AF112" s="623">
        <f>SQRT(AG112^2+AH112^2)*1000/(1.73*AF84)</f>
        <v>84.751605283875335</v>
      </c>
      <c r="AG112" s="624">
        <v>1.51</v>
      </c>
      <c r="AH112" s="625">
        <v>0.3</v>
      </c>
      <c r="AI112" s="623">
        <f>SQRT(AJ112^2+AK112^2)*1000/(1.73*AI84)</f>
        <v>86.372072259642991</v>
      </c>
      <c r="AJ112" s="624">
        <v>1.54</v>
      </c>
      <c r="AK112" s="625">
        <v>0.3</v>
      </c>
      <c r="AL112" s="623">
        <f>SQRT(AM112^2+AN112^2)*1000/(1.73*AL84)</f>
        <v>84.860599118451617</v>
      </c>
      <c r="AM112" s="624">
        <v>1.51</v>
      </c>
      <c r="AN112" s="625">
        <v>0.31</v>
      </c>
      <c r="AO112" s="623">
        <f>SQRT(AP112^2+AQ112^2)*1000/(1.73*AO84)</f>
        <v>82.592896779851273</v>
      </c>
      <c r="AP112" s="624">
        <v>1.47</v>
      </c>
      <c r="AQ112" s="625">
        <v>0.3</v>
      </c>
    </row>
    <row r="113" spans="1:43" s="433" customFormat="1" ht="16.5" customHeight="1" x14ac:dyDescent="0.25">
      <c r="A113" s="493" t="s">
        <v>611</v>
      </c>
      <c r="B113" s="494" t="s">
        <v>2185</v>
      </c>
      <c r="C113" s="495"/>
      <c r="D113" s="496"/>
      <c r="E113" s="497"/>
      <c r="F113" s="498"/>
      <c r="G113" s="499"/>
      <c r="H113" s="623">
        <f>SQRT(I113^2+J113^2)*1000/(1.73*H84)</f>
        <v>3.4817260227562667</v>
      </c>
      <c r="I113" s="624">
        <v>0.06</v>
      </c>
      <c r="J113" s="625">
        <v>0.02</v>
      </c>
      <c r="K113" s="623">
        <f>SQRT(L113^2+M113^2)*1000/(1.73*K84)</f>
        <v>3.4817260227562667</v>
      </c>
      <c r="L113" s="624">
        <v>0.06</v>
      </c>
      <c r="M113" s="625">
        <v>0.02</v>
      </c>
      <c r="N113" s="623">
        <f>SQRT(O113^2+P113^2)*1000/(1.73*N84)</f>
        <v>3.4817260227562667</v>
      </c>
      <c r="O113" s="624">
        <v>0.06</v>
      </c>
      <c r="P113" s="625">
        <v>0.02</v>
      </c>
      <c r="Q113" s="623">
        <f>SQRT(R113^2+S113^2)*1000/(1.73*Q84)</f>
        <v>3.6929281213869367</v>
      </c>
      <c r="R113" s="624">
        <v>0.06</v>
      </c>
      <c r="S113" s="625">
        <v>0.03</v>
      </c>
      <c r="T113" s="623">
        <f>SQRT(U113^2+V113^2)*1000/(1.73*T84)</f>
        <v>3.6929281213869367</v>
      </c>
      <c r="U113" s="624">
        <v>0.06</v>
      </c>
      <c r="V113" s="625">
        <v>0.03</v>
      </c>
      <c r="W113" s="623">
        <f>SQRT(X113^2+Y113^2)*1000/(1.73*W84)</f>
        <v>3.6929281213869367</v>
      </c>
      <c r="X113" s="624">
        <v>0.06</v>
      </c>
      <c r="Y113" s="625">
        <v>0.03</v>
      </c>
      <c r="Z113" s="623">
        <f>SQRT(AA113^2+AB113^2)*1000/(1.73*Z84)</f>
        <v>2.964582883090837</v>
      </c>
      <c r="AA113" s="624">
        <v>0.05</v>
      </c>
      <c r="AB113" s="625">
        <v>0.02</v>
      </c>
      <c r="AC113" s="623">
        <f>SQRT(AD113^2+AE113^2)*1000/(1.73*AC84)</f>
        <v>2.461952080924624</v>
      </c>
      <c r="AD113" s="624">
        <v>0.04</v>
      </c>
      <c r="AE113" s="625">
        <v>0.02</v>
      </c>
      <c r="AF113" s="623">
        <f>SQRT(AG113^2+AH113^2)*1000/(1.73*AF84)</f>
        <v>2.964582883090837</v>
      </c>
      <c r="AG113" s="624">
        <v>0.05</v>
      </c>
      <c r="AH113" s="625">
        <v>0.02</v>
      </c>
      <c r="AI113" s="623">
        <f>SQRT(AJ113^2+AK113^2)*1000/(1.73*AI84)</f>
        <v>3.2099927854914956</v>
      </c>
      <c r="AJ113" s="624">
        <v>0.05</v>
      </c>
      <c r="AK113" s="625">
        <v>0.03</v>
      </c>
      <c r="AL113" s="623">
        <f>SQRT(AM113^2+AN113^2)*1000/(1.73*AL84)</f>
        <v>3.2099927854914956</v>
      </c>
      <c r="AM113" s="624">
        <v>0.05</v>
      </c>
      <c r="AN113" s="625">
        <v>0.03</v>
      </c>
      <c r="AO113" s="623">
        <f>SQRT(AP113^2+AQ113^2)*1000/(1.73*AO84)</f>
        <v>2.461952080924624</v>
      </c>
      <c r="AP113" s="624">
        <v>0.04</v>
      </c>
      <c r="AQ113" s="625">
        <v>0.02</v>
      </c>
    </row>
    <row r="114" spans="1:43" s="433" customFormat="1" ht="16.5" customHeight="1" x14ac:dyDescent="0.25">
      <c r="A114" s="493" t="s">
        <v>662</v>
      </c>
      <c r="B114" s="494" t="s">
        <v>2186</v>
      </c>
      <c r="C114" s="495"/>
      <c r="D114" s="496"/>
      <c r="E114" s="497"/>
      <c r="F114" s="498"/>
      <c r="G114" s="499"/>
      <c r="H114" s="623">
        <f>SQRT(I114^2+J114^2)*1000/(1.73*H84)</f>
        <v>30.877629864861348</v>
      </c>
      <c r="I114" s="624">
        <v>0.55000000000000004</v>
      </c>
      <c r="J114" s="625">
        <v>0.11</v>
      </c>
      <c r="K114" s="623">
        <f>SQRT(L114^2+M114^2)*1000/(1.73*K84)</f>
        <v>34.335185531544568</v>
      </c>
      <c r="L114" s="624">
        <v>0.61</v>
      </c>
      <c r="M114" s="625">
        <v>0.13</v>
      </c>
      <c r="N114" s="623">
        <f>SQRT(O114^2+P114^2)*1000/(1.73*N84)</f>
        <v>37.142037530268105</v>
      </c>
      <c r="O114" s="624">
        <v>0.66</v>
      </c>
      <c r="P114" s="625">
        <v>0.14000000000000001</v>
      </c>
      <c r="Q114" s="623">
        <f>SQRT(R114^2+S114^2)*1000/(1.73*Q84)</f>
        <v>37.142037530268105</v>
      </c>
      <c r="R114" s="624">
        <v>0.66</v>
      </c>
      <c r="S114" s="625">
        <v>0.14000000000000001</v>
      </c>
      <c r="T114" s="623">
        <f>SQRT(U114^2+V114^2)*1000/(1.73*T84)</f>
        <v>38.219774198094761</v>
      </c>
      <c r="U114" s="624">
        <v>0.68</v>
      </c>
      <c r="V114" s="625">
        <v>0.14000000000000001</v>
      </c>
      <c r="W114" s="623">
        <f>SQRT(X114^2+Y114^2)*1000/(1.73*W84)</f>
        <v>38.219774198094761</v>
      </c>
      <c r="X114" s="624">
        <v>0.68</v>
      </c>
      <c r="Y114" s="625">
        <v>0.14000000000000001</v>
      </c>
      <c r="Z114" s="623">
        <f>SQRT(AA114^2+AB114^2)*1000/(1.73*Z84)</f>
        <v>37.572002269752943</v>
      </c>
      <c r="AA114" s="624">
        <v>0.67</v>
      </c>
      <c r="AB114" s="625">
        <v>0.13</v>
      </c>
      <c r="AC114" s="623">
        <f>SQRT(AD114^2+AE114^2)*1000/(1.73*AC84)</f>
        <v>35.412765287256576</v>
      </c>
      <c r="AD114" s="624">
        <v>0.63</v>
      </c>
      <c r="AE114" s="625">
        <v>0.13</v>
      </c>
      <c r="AF114" s="623">
        <f>SQRT(AG114^2+AH114^2)*1000/(1.73*AF84)</f>
        <v>34.335185531544568</v>
      </c>
      <c r="AG114" s="624">
        <v>0.61</v>
      </c>
      <c r="AH114" s="625">
        <v>0.13</v>
      </c>
      <c r="AI114" s="623">
        <f>SQRT(AJ114^2+AK114^2)*1000/(1.73*AI84)</f>
        <v>34.335185531544568</v>
      </c>
      <c r="AJ114" s="624">
        <v>0.61</v>
      </c>
      <c r="AK114" s="625">
        <v>0.13</v>
      </c>
      <c r="AL114" s="623">
        <f>SQRT(AM114^2+AN114^2)*1000/(1.73*AL84)</f>
        <v>32.721742035152396</v>
      </c>
      <c r="AM114" s="624">
        <v>0.57999999999999996</v>
      </c>
      <c r="AN114" s="625">
        <v>0.13</v>
      </c>
      <c r="AO114" s="623">
        <f>SQRT(AP114^2+AQ114^2)*1000/(1.73*AO84)</f>
        <v>32.184786088067085</v>
      </c>
      <c r="AP114" s="624">
        <v>0.56999999999999995</v>
      </c>
      <c r="AQ114" s="625">
        <v>0.13</v>
      </c>
    </row>
    <row r="115" spans="1:43" s="433" customFormat="1" ht="16.5" customHeight="1" x14ac:dyDescent="0.25">
      <c r="A115" s="493" t="s">
        <v>718</v>
      </c>
      <c r="B115" s="494" t="s">
        <v>2187</v>
      </c>
      <c r="C115" s="495"/>
      <c r="D115" s="496"/>
      <c r="E115" s="497"/>
      <c r="F115" s="498"/>
      <c r="G115" s="499"/>
      <c r="H115" s="623">
        <f>SQRT(I115^2+J115^2)*1000/(1.73*H84)</f>
        <v>103.8611186363518</v>
      </c>
      <c r="I115" s="624">
        <v>1.85</v>
      </c>
      <c r="J115" s="625">
        <v>0.37</v>
      </c>
      <c r="K115" s="623">
        <f>SQRT(L115^2+M115^2)*1000/(1.73*K84)</f>
        <v>105.04921910224483</v>
      </c>
      <c r="L115" s="624">
        <v>1.87</v>
      </c>
      <c r="M115" s="625">
        <v>0.38</v>
      </c>
      <c r="N115" s="623">
        <f>SQRT(O115^2+P115^2)*1000/(1.73*N84)</f>
        <v>109.69647368635542</v>
      </c>
      <c r="O115" s="624">
        <v>1.95</v>
      </c>
      <c r="P115" s="625">
        <v>0.41</v>
      </c>
      <c r="Q115" s="623">
        <f>SQRT(R115^2+S115^2)*1000/(1.73*Q84)</f>
        <v>106.35091574314514</v>
      </c>
      <c r="R115" s="624">
        <v>1.89</v>
      </c>
      <c r="S115" s="625">
        <v>0.4</v>
      </c>
      <c r="T115" s="623">
        <f>SQRT(U115^2+V115^2)*1000/(1.73*T84)</f>
        <v>107.96719557065798</v>
      </c>
      <c r="U115" s="624">
        <v>1.92</v>
      </c>
      <c r="V115" s="625">
        <v>0.4</v>
      </c>
      <c r="W115" s="623">
        <f>SQRT(X115^2+Y115^2)*1000/(1.73*W84)</f>
        <v>104.62137714095364</v>
      </c>
      <c r="X115" s="624">
        <v>1.86</v>
      </c>
      <c r="Y115" s="625">
        <v>0.39</v>
      </c>
      <c r="Z115" s="623">
        <f>SQRT(AA115^2+AB115^2)*1000/(1.73*Z84)</f>
        <v>103.65958532069206</v>
      </c>
      <c r="AA115" s="624">
        <v>1.84</v>
      </c>
      <c r="AB115" s="625">
        <v>0.4</v>
      </c>
      <c r="AC115" s="623">
        <f>SQRT(AD115^2+AE115^2)*1000/(1.73*AC84)</f>
        <v>103.32135633979334</v>
      </c>
      <c r="AD115" s="624">
        <v>1.84</v>
      </c>
      <c r="AE115" s="625">
        <v>0.37</v>
      </c>
      <c r="AF115" s="623">
        <f>SQRT(AG115^2+AH115^2)*1000/(1.73*AF84)</f>
        <v>97.278266155091075</v>
      </c>
      <c r="AG115" s="624">
        <v>1.73</v>
      </c>
      <c r="AH115" s="625">
        <v>0.36</v>
      </c>
      <c r="AI115" s="623">
        <f>SQRT(AJ115^2+AK115^2)*1000/(1.73*AI84)</f>
        <v>93.393690593000741</v>
      </c>
      <c r="AJ115" s="624">
        <v>1.66</v>
      </c>
      <c r="AK115" s="625">
        <v>0.35</v>
      </c>
      <c r="AL115" s="623">
        <f>SQRT(AM115^2+AN115^2)*1000/(1.73*AL84)</f>
        <v>89.509819904105598</v>
      </c>
      <c r="AM115" s="624">
        <v>1.59</v>
      </c>
      <c r="AN115" s="625">
        <v>0.34</v>
      </c>
      <c r="AO115" s="623">
        <f>SQRT(AP115^2+AQ115^2)*1000/(1.73*AO84)</f>
        <v>87.895482130545702</v>
      </c>
      <c r="AP115" s="624">
        <v>1.56</v>
      </c>
      <c r="AQ115" s="625">
        <v>0.34</v>
      </c>
    </row>
    <row r="116" spans="1:43" s="433" customFormat="1" ht="16.5" customHeight="1" x14ac:dyDescent="0.25">
      <c r="A116" s="493" t="s">
        <v>2188</v>
      </c>
      <c r="B116" s="494" t="s">
        <v>2189</v>
      </c>
      <c r="C116" s="495"/>
      <c r="D116" s="496"/>
      <c r="E116" s="497"/>
      <c r="F116" s="498"/>
      <c r="G116" s="499"/>
      <c r="H116" s="623">
        <f>SQRT(I116^2+J116^2)*1000/(1.73*H84)</f>
        <v>63.716537500601312</v>
      </c>
      <c r="I116" s="624">
        <v>1.1399999999999999</v>
      </c>
      <c r="J116" s="625">
        <v>0.2</v>
      </c>
      <c r="K116" s="623">
        <f>SQRT(L116^2+M116^2)*1000/(1.73*K84)</f>
        <v>65.980775086599252</v>
      </c>
      <c r="L116" s="624">
        <v>1.18</v>
      </c>
      <c r="M116" s="625">
        <v>0.21</v>
      </c>
      <c r="N116" s="623">
        <f>SQRT(O116^2+P116^2)*1000/(1.73*N84)</f>
        <v>70.938832683450144</v>
      </c>
      <c r="O116" s="624">
        <v>1.26</v>
      </c>
      <c r="P116" s="625">
        <v>0.27</v>
      </c>
      <c r="Q116" s="623">
        <f>SQRT(R116^2+S116^2)*1000/(1.73*Q84)</f>
        <v>71.364767658685935</v>
      </c>
      <c r="R116" s="624">
        <v>1.27</v>
      </c>
      <c r="S116" s="625">
        <v>0.26</v>
      </c>
      <c r="T116" s="623">
        <f>SQRT(U116^2+V116^2)*1000/(1.73*T84)</f>
        <v>75.144004539505886</v>
      </c>
      <c r="U116" s="624">
        <v>1.34</v>
      </c>
      <c r="V116" s="625">
        <v>0.26</v>
      </c>
      <c r="W116" s="623">
        <f>SQRT(X116^2+Y116^2)*1000/(1.73*W84)</f>
        <v>73.418201542739723</v>
      </c>
      <c r="X116" s="624">
        <v>1.31</v>
      </c>
      <c r="Y116" s="625">
        <v>0.25</v>
      </c>
      <c r="Z116" s="623">
        <f>SQRT(AA116^2+AB116^2)*1000/(1.73*Z84)</f>
        <v>72.877524331812424</v>
      </c>
      <c r="AA116" s="624">
        <v>1.3</v>
      </c>
      <c r="AB116" s="625">
        <v>0.25</v>
      </c>
      <c r="AC116" s="623">
        <f>SQRT(AD116^2+AE116^2)*1000/(1.73*AC84)</f>
        <v>70.0705471643072</v>
      </c>
      <c r="AD116" s="624">
        <v>1.25</v>
      </c>
      <c r="AE116" s="625">
        <v>0.24</v>
      </c>
      <c r="AF116" s="623">
        <f>SQRT(AG116^2+AH116^2)*1000/(1.73*AF84)</f>
        <v>67.369374250606569</v>
      </c>
      <c r="AG116" s="624">
        <v>1.2</v>
      </c>
      <c r="AH116" s="625">
        <v>0.24</v>
      </c>
      <c r="AI116" s="623">
        <f>SQRT(AJ116^2+AK116^2)*1000/(1.73*AI84)</f>
        <v>62.51855732699488</v>
      </c>
      <c r="AJ116" s="624">
        <v>1.1100000000000001</v>
      </c>
      <c r="AK116" s="625">
        <v>0.24</v>
      </c>
      <c r="AL116" s="623">
        <f>SQRT(AM116^2+AN116^2)*1000/(1.73*AL84)</f>
        <v>59.173979837204641</v>
      </c>
      <c r="AM116" s="624">
        <v>1.05</v>
      </c>
      <c r="AN116" s="625">
        <v>0.23</v>
      </c>
      <c r="AO116" s="623">
        <f>SQRT(AP116^2+AQ116^2)*1000/(1.73*AO84)</f>
        <v>56.488255215349717</v>
      </c>
      <c r="AP116" s="624">
        <v>1</v>
      </c>
      <c r="AQ116" s="625">
        <v>0.23</v>
      </c>
    </row>
    <row r="117" spans="1:43" s="433" customFormat="1" ht="16.5" customHeight="1" x14ac:dyDescent="0.25">
      <c r="A117" s="493" t="s">
        <v>2190</v>
      </c>
      <c r="B117" s="494" t="s">
        <v>2191</v>
      </c>
      <c r="C117" s="495"/>
      <c r="D117" s="496"/>
      <c r="E117" s="497"/>
      <c r="F117" s="498"/>
      <c r="G117" s="499"/>
      <c r="H117" s="623">
        <f>SQRT(I117^2+J117^2)*1000/(1.73*H92)</f>
        <v>26.630083396527002</v>
      </c>
      <c r="I117" s="624">
        <v>0.48</v>
      </c>
      <c r="J117" s="625">
        <v>0.06</v>
      </c>
      <c r="K117" s="623">
        <f>SQRT(L117^2+M117^2)*1000/(1.73*K92)</f>
        <v>27.176427299086114</v>
      </c>
      <c r="L117" s="624">
        <v>0.49</v>
      </c>
      <c r="M117" s="625">
        <v>0.06</v>
      </c>
      <c r="N117" s="623">
        <f>SQRT(O117^2+P117^2)*1000/(1.73*N92)</f>
        <v>31.004960837497876</v>
      </c>
      <c r="O117" s="624">
        <v>0.56000000000000005</v>
      </c>
      <c r="P117" s="625">
        <v>0.06</v>
      </c>
      <c r="Q117" s="623">
        <f>SQRT(R117^2+S117^2)*1000/(1.73*Q92)</f>
        <v>32.099927854914945</v>
      </c>
      <c r="R117" s="624">
        <v>0.57999999999999996</v>
      </c>
      <c r="S117" s="625">
        <v>0.06</v>
      </c>
      <c r="T117" s="623">
        <f>SQRT(U117^2+V117^2)*1000/(1.73*T92)</f>
        <v>33.195295197756863</v>
      </c>
      <c r="U117" s="624">
        <v>0.6</v>
      </c>
      <c r="V117" s="625">
        <v>0.06</v>
      </c>
      <c r="W117" s="623">
        <f>SQRT(X117^2+Y117^2)*1000/(1.73*W92)</f>
        <v>32.647564003705448</v>
      </c>
      <c r="X117" s="624">
        <v>0.59</v>
      </c>
      <c r="Y117" s="625">
        <v>0.06</v>
      </c>
      <c r="Z117" s="623">
        <f>SQRT(AA117^2+AB117^2)*1000/(1.73*Z92)</f>
        <v>31.552391700318413</v>
      </c>
      <c r="AA117" s="624">
        <v>0.56999999999999995</v>
      </c>
      <c r="AB117" s="625">
        <v>0.06</v>
      </c>
      <c r="AC117" s="623">
        <f>SQRT(AD117^2+AE117^2)*1000/(1.73*AC92)</f>
        <v>31.552391700318413</v>
      </c>
      <c r="AD117" s="624">
        <v>0.56999999999999995</v>
      </c>
      <c r="AE117" s="625">
        <v>0.06</v>
      </c>
      <c r="AF117" s="623">
        <f>SQRT(AG117^2+AH117^2)*1000/(1.73*AF92)</f>
        <v>29.910438111106252</v>
      </c>
      <c r="AG117" s="624">
        <v>0.54</v>
      </c>
      <c r="AH117" s="625">
        <v>0.06</v>
      </c>
      <c r="AI117" s="623">
        <f>SQRT(AJ117^2+AK117^2)*1000/(1.73*AI92)</f>
        <v>28.816410301794438</v>
      </c>
      <c r="AJ117" s="624">
        <v>0.52</v>
      </c>
      <c r="AK117" s="625">
        <v>0.06</v>
      </c>
      <c r="AL117" s="623">
        <f>SQRT(AM117^2+AN117^2)*1000/(1.73*AL92)</f>
        <v>27.722936002233247</v>
      </c>
      <c r="AM117" s="624">
        <v>0.5</v>
      </c>
      <c r="AN117" s="625">
        <v>0.06</v>
      </c>
      <c r="AO117" s="623">
        <f>SQRT(AP117^2+AQ117^2)*1000/(1.73*AO92)</f>
        <v>27.722936002233247</v>
      </c>
      <c r="AP117" s="624">
        <v>0.5</v>
      </c>
      <c r="AQ117" s="625">
        <v>0.06</v>
      </c>
    </row>
    <row r="118" spans="1:43" s="433" customFormat="1" ht="16.5" customHeight="1" x14ac:dyDescent="0.25">
      <c r="A118" s="493" t="s">
        <v>2192</v>
      </c>
      <c r="B118" s="494" t="s">
        <v>2193</v>
      </c>
      <c r="C118" s="495"/>
      <c r="D118" s="496"/>
      <c r="E118" s="497"/>
      <c r="F118" s="498"/>
      <c r="G118" s="499"/>
      <c r="H118" s="623">
        <f>SQRT(I118^2+J118^2)*1000/(1.73*H92)</f>
        <v>46.101655092858437</v>
      </c>
      <c r="I118" s="624">
        <v>0.82</v>
      </c>
      <c r="J118" s="625">
        <v>0.17</v>
      </c>
      <c r="K118" s="623">
        <f>SQRT(L118^2+M118^2)*1000/(1.73*K92)</f>
        <v>47.948057446554749</v>
      </c>
      <c r="L118" s="624">
        <v>0.85</v>
      </c>
      <c r="M118" s="625">
        <v>0.19</v>
      </c>
      <c r="N118" s="623">
        <f>SQRT(O118^2+P118^2)*1000/(1.73*N92)</f>
        <v>52.486370213280608</v>
      </c>
      <c r="O118" s="624">
        <v>0.93</v>
      </c>
      <c r="P118" s="625">
        <v>0.21</v>
      </c>
      <c r="Q118" s="623">
        <f>SQRT(R118^2+S118^2)*1000/(1.73*Q92)</f>
        <v>52.90619885156714</v>
      </c>
      <c r="R118" s="624">
        <v>0.94</v>
      </c>
      <c r="S118" s="625">
        <v>0.2</v>
      </c>
      <c r="T118" s="623">
        <f>SQRT(U118^2+V118^2)*1000/(1.73*T92)</f>
        <v>53.334087948396864</v>
      </c>
      <c r="U118" s="624">
        <v>0.95</v>
      </c>
      <c r="V118" s="625">
        <v>0.19</v>
      </c>
      <c r="W118" s="623">
        <f>SQRT(X118^2+Y118^2)*1000/(1.73*W92)</f>
        <v>52.688075371342244</v>
      </c>
      <c r="X118" s="624">
        <v>0.94</v>
      </c>
      <c r="Y118" s="625">
        <v>0.18</v>
      </c>
      <c r="Z118" s="623">
        <f>SQRT(AA118^2+AB118^2)*1000/(1.73*Z92)</f>
        <v>52.14749266340857</v>
      </c>
      <c r="AA118" s="624">
        <v>0.93</v>
      </c>
      <c r="AB118" s="625">
        <v>0.18</v>
      </c>
      <c r="AC118" s="623">
        <f>SQRT(AD118^2+AE118^2)*1000/(1.73*AC92)</f>
        <v>52.688075371342244</v>
      </c>
      <c r="AD118" s="624">
        <v>0.94</v>
      </c>
      <c r="AE118" s="625">
        <v>0.18</v>
      </c>
      <c r="AF118" s="623">
        <f>SQRT(AG118^2+AH118^2)*1000/(1.73*AF92)</f>
        <v>51.504249363948517</v>
      </c>
      <c r="AG118" s="624">
        <v>0.92</v>
      </c>
      <c r="AH118" s="625">
        <v>0.17</v>
      </c>
      <c r="AI118" s="623">
        <f>SQRT(AJ118^2+AK118^2)*1000/(1.73*AI92)</f>
        <v>49.340492628145739</v>
      </c>
      <c r="AJ118" s="624">
        <v>0.88</v>
      </c>
      <c r="AK118" s="625">
        <v>0.17</v>
      </c>
      <c r="AL118" s="623">
        <f>SQRT(AM118^2+AN118^2)*1000/(1.73*AL92)</f>
        <v>47.074171927182931</v>
      </c>
      <c r="AM118" s="624">
        <v>0.84</v>
      </c>
      <c r="AN118" s="625">
        <v>0.16</v>
      </c>
      <c r="AO118" s="623">
        <f>SQRT(AP118^2+AQ118^2)*1000/(1.73*AO92)</f>
        <v>46.533499496843731</v>
      </c>
      <c r="AP118" s="624">
        <v>0.83</v>
      </c>
      <c r="AQ118" s="625">
        <v>0.16</v>
      </c>
    </row>
    <row r="119" spans="1:43" s="433" customFormat="1" ht="16.5" customHeight="1" x14ac:dyDescent="0.25">
      <c r="A119" s="493" t="s">
        <v>985</v>
      </c>
      <c r="B119" s="494" t="s">
        <v>2194</v>
      </c>
      <c r="C119" s="495"/>
      <c r="D119" s="496"/>
      <c r="E119" s="497"/>
      <c r="F119" s="498"/>
      <c r="G119" s="499"/>
      <c r="H119" s="623">
        <f>SQRT(I119^2+J119^2)*1000/(1.73*H92)</f>
        <v>7.6677061806683851</v>
      </c>
      <c r="I119" s="624">
        <v>0.13</v>
      </c>
      <c r="J119" s="625">
        <v>0.05</v>
      </c>
      <c r="K119" s="623">
        <f>SQRT(L119^2+M119^2)*1000/(1.73*K92)</f>
        <v>7.6677061806683851</v>
      </c>
      <c r="L119" s="624">
        <v>0.13</v>
      </c>
      <c r="M119" s="625">
        <v>0.05</v>
      </c>
      <c r="N119" s="623">
        <f>SQRT(O119^2+P119^2)*1000/(1.73*N92)</f>
        <v>7.3447090911788244</v>
      </c>
      <c r="O119" s="624">
        <v>0.13</v>
      </c>
      <c r="P119" s="625">
        <v>0.03</v>
      </c>
      <c r="Q119" s="623">
        <f>SQRT(R119^2+S119^2)*1000/(1.73*Q92)</f>
        <v>6.6972337245232261</v>
      </c>
      <c r="R119" s="624">
        <v>0.12</v>
      </c>
      <c r="S119" s="625">
        <v>0.02</v>
      </c>
      <c r="T119" s="623">
        <f>SQRT(U119^2+V119^2)*1000/(1.73*T92)</f>
        <v>6.0805730895608381</v>
      </c>
      <c r="U119" s="624">
        <v>0.11</v>
      </c>
      <c r="V119" s="625">
        <v>0.01</v>
      </c>
      <c r="W119" s="623">
        <f>SQRT(X119^2+Y119^2)*1000/(1.73*W92)</f>
        <v>6.0805730895608381</v>
      </c>
      <c r="X119" s="624">
        <v>0.11</v>
      </c>
      <c r="Y119" s="625">
        <v>0.01</v>
      </c>
      <c r="Z119" s="623">
        <f>SQRT(AA119^2+AB119^2)*1000/(1.73*Z92)</f>
        <v>6.0805730895608381</v>
      </c>
      <c r="AA119" s="624">
        <v>0.11</v>
      </c>
      <c r="AB119" s="625">
        <v>0.01</v>
      </c>
      <c r="AC119" s="623">
        <f>SQRT(AD119^2+AE119^2)*1000/(1.73*AC92)</f>
        <v>6.0805730895608381</v>
      </c>
      <c r="AD119" s="624">
        <v>0.11</v>
      </c>
      <c r="AE119" s="625">
        <v>0.01</v>
      </c>
      <c r="AF119" s="623">
        <f>SQRT(AG119^2+AH119^2)*1000/(1.73*AF92)</f>
        <v>6.0805730895608381</v>
      </c>
      <c r="AG119" s="624">
        <v>0.11</v>
      </c>
      <c r="AH119" s="625">
        <v>0.01</v>
      </c>
      <c r="AI119" s="623">
        <f>SQRT(AJ119^2+AK119^2)*1000/(1.73*AI92)</f>
        <v>5.5325491996261436</v>
      </c>
      <c r="AJ119" s="624">
        <v>0.1</v>
      </c>
      <c r="AK119" s="625">
        <v>0.01</v>
      </c>
      <c r="AL119" s="623">
        <f>SQRT(AM119^2+AN119^2)*1000/(1.73*AL92)</f>
        <v>5.5325491996261436</v>
      </c>
      <c r="AM119" s="624">
        <v>0.1</v>
      </c>
      <c r="AN119" s="625">
        <v>0.01</v>
      </c>
      <c r="AO119" s="623">
        <f>SQRT(AP119^2+AQ119^2)*1000/(1.73*AO92)</f>
        <v>6.0805730895608381</v>
      </c>
      <c r="AP119" s="624">
        <v>0.11</v>
      </c>
      <c r="AQ119" s="625">
        <v>0.01</v>
      </c>
    </row>
    <row r="120" spans="1:43" s="433" customFormat="1" ht="16.5" customHeight="1" x14ac:dyDescent="0.25">
      <c r="A120" s="493" t="s">
        <v>1218</v>
      </c>
      <c r="B120" s="494" t="s">
        <v>2195</v>
      </c>
      <c r="C120" s="495"/>
      <c r="D120" s="496"/>
      <c r="E120" s="497"/>
      <c r="F120" s="498"/>
      <c r="G120" s="499"/>
      <c r="H120" s="623">
        <f>SQRT(I120^2+J120^2)*1000/(1.73*H92)</f>
        <v>132.61903104424064</v>
      </c>
      <c r="I120" s="624">
        <v>2.35</v>
      </c>
      <c r="J120" s="625">
        <v>0.53</v>
      </c>
      <c r="K120" s="623">
        <f>SQRT(L120^2+M120^2)*1000/(1.73*K92)</f>
        <v>134.88824033694519</v>
      </c>
      <c r="L120" s="624">
        <v>2.39</v>
      </c>
      <c r="M120" s="625">
        <v>0.54</v>
      </c>
      <c r="N120" s="623">
        <f>SQRT(O120^2+P120^2)*1000/(1.73*N92)</f>
        <v>141.94386804266438</v>
      </c>
      <c r="O120" s="624">
        <v>2.5099999999999998</v>
      </c>
      <c r="P120" s="625">
        <v>0.59</v>
      </c>
      <c r="Q120" s="623">
        <f>SQRT(R120^2+S120^2)*1000/(1.73*Q92)</f>
        <v>143.42851919169451</v>
      </c>
      <c r="R120" s="624">
        <v>2.54</v>
      </c>
      <c r="S120" s="625">
        <v>0.57999999999999996</v>
      </c>
      <c r="T120" s="623">
        <f>SQRT(U120^2+V120^2)*1000/(1.73*T92)</f>
        <v>144.50211669041221</v>
      </c>
      <c r="U120" s="624">
        <v>2.56</v>
      </c>
      <c r="V120" s="625">
        <v>0.57999999999999996</v>
      </c>
      <c r="W120" s="623">
        <f>SQRT(X120^2+Y120^2)*1000/(1.73*W92)</f>
        <v>143.72508511254213</v>
      </c>
      <c r="X120" s="624">
        <v>2.5499999999999998</v>
      </c>
      <c r="Y120" s="625">
        <v>0.56000000000000005</v>
      </c>
      <c r="Z120" s="623">
        <f>SQRT(AA120^2+AB120^2)*1000/(1.73*Z92)</f>
        <v>143.72508511254213</v>
      </c>
      <c r="AA120" s="624">
        <v>2.5499999999999998</v>
      </c>
      <c r="AB120" s="625">
        <v>0.56000000000000005</v>
      </c>
      <c r="AC120" s="623">
        <f>SQRT(AD120^2+AE120^2)*1000/(1.73*AC92)</f>
        <v>140.26322449272703</v>
      </c>
      <c r="AD120" s="624">
        <v>2.4900000000000002</v>
      </c>
      <c r="AE120" s="625">
        <v>0.54</v>
      </c>
      <c r="AF120" s="623">
        <f>SQRT(AG120^2+AH120^2)*1000/(1.73*AF92)</f>
        <v>133.15610704981492</v>
      </c>
      <c r="AG120" s="624">
        <v>2.36</v>
      </c>
      <c r="AH120" s="625">
        <v>0.53</v>
      </c>
      <c r="AI120" s="623">
        <f>SQRT(AJ120^2+AK120^2)*1000/(1.73*AI92)</f>
        <v>127.129493830662</v>
      </c>
      <c r="AJ120" s="624">
        <v>2.25</v>
      </c>
      <c r="AK120" s="625">
        <v>0.52</v>
      </c>
      <c r="AL120" s="623">
        <f>SQRT(AM120^2+AN120^2)*1000/(1.73*AL92)</f>
        <v>121.10827509635283</v>
      </c>
      <c r="AM120" s="624">
        <v>2.14</v>
      </c>
      <c r="AN120" s="625">
        <v>0.51</v>
      </c>
      <c r="AO120" s="623">
        <f>SQRT(AP120^2+AQ120^2)*1000/(1.73*AO92)</f>
        <v>115.62790629417646</v>
      </c>
      <c r="AP120" s="624">
        <v>2.04</v>
      </c>
      <c r="AQ120" s="625">
        <v>0.5</v>
      </c>
    </row>
    <row r="121" spans="1:43" s="433" customFormat="1" ht="16.5" customHeight="1" x14ac:dyDescent="0.25">
      <c r="A121" s="493" t="s">
        <v>1288</v>
      </c>
      <c r="B121" s="494" t="s">
        <v>2196</v>
      </c>
      <c r="C121" s="495"/>
      <c r="D121" s="496"/>
      <c r="E121" s="497"/>
      <c r="F121" s="498"/>
      <c r="G121" s="499"/>
      <c r="H121" s="500">
        <f>SQRT(I121^2+J121^2)*1000/(1.73*H92)</f>
        <v>0</v>
      </c>
      <c r="I121" s="501">
        <v>0</v>
      </c>
      <c r="J121" s="502">
        <v>0</v>
      </c>
      <c r="K121" s="500">
        <f>SQRT(L121^2+M121^2)*1000/(1.73*K92)</f>
        <v>0</v>
      </c>
      <c r="L121" s="501">
        <v>0</v>
      </c>
      <c r="M121" s="502">
        <v>0</v>
      </c>
      <c r="N121" s="500">
        <f>SQRT(O121^2+P121^2)*1000/(1.73*N92)</f>
        <v>0</v>
      </c>
      <c r="O121" s="501">
        <v>0</v>
      </c>
      <c r="P121" s="502">
        <v>0</v>
      </c>
      <c r="Q121" s="500">
        <f>SQRT(R121^2+S121^2)*1000/(1.73*Q92)</f>
        <v>0</v>
      </c>
      <c r="R121" s="501">
        <v>0</v>
      </c>
      <c r="S121" s="502">
        <v>0</v>
      </c>
      <c r="T121" s="500">
        <f>SQRT(U121^2+V121^2)*1000/(1.73*T92)</f>
        <v>0</v>
      </c>
      <c r="U121" s="501">
        <v>0</v>
      </c>
      <c r="V121" s="502">
        <v>0</v>
      </c>
      <c r="W121" s="500">
        <f>SQRT(X121^2+Y121^2)*1000/(1.73*W92)</f>
        <v>0</v>
      </c>
      <c r="X121" s="501">
        <v>0</v>
      </c>
      <c r="Y121" s="502">
        <v>0</v>
      </c>
      <c r="Z121" s="500">
        <f>SQRT(AA121^2+AB121^2)*1000/(1.73*Z92)</f>
        <v>0</v>
      </c>
      <c r="AA121" s="501">
        <v>0</v>
      </c>
      <c r="AB121" s="502">
        <v>0</v>
      </c>
      <c r="AC121" s="500">
        <f>SQRT(AD121^2+AE121^2)*1000/(1.73*AC92)</f>
        <v>0</v>
      </c>
      <c r="AD121" s="501">
        <v>0</v>
      </c>
      <c r="AE121" s="502">
        <v>0</v>
      </c>
      <c r="AF121" s="500">
        <f>SQRT(AG121^2+AH121^2)*1000/(1.73*AF92)</f>
        <v>0</v>
      </c>
      <c r="AG121" s="501">
        <v>0</v>
      </c>
      <c r="AH121" s="502">
        <v>0</v>
      </c>
      <c r="AI121" s="500">
        <f>SQRT(AJ121^2+AK121^2)*1000/(1.73*AI92)</f>
        <v>0</v>
      </c>
      <c r="AJ121" s="501">
        <v>0</v>
      </c>
      <c r="AK121" s="502">
        <v>0</v>
      </c>
      <c r="AL121" s="500">
        <f>SQRT(AM121^2+AN121^2)*1000/(1.73*AL92)</f>
        <v>0</v>
      </c>
      <c r="AM121" s="501">
        <v>0</v>
      </c>
      <c r="AN121" s="502">
        <v>0</v>
      </c>
      <c r="AO121" s="500">
        <f>SQRT(AP121^2+AQ121^2)*1000/(1.73*AO92)</f>
        <v>0</v>
      </c>
      <c r="AP121" s="501">
        <v>0</v>
      </c>
      <c r="AQ121" s="502">
        <v>0</v>
      </c>
    </row>
    <row r="122" spans="1:43" s="433" customFormat="1" ht="16.5" customHeight="1" x14ac:dyDescent="0.25">
      <c r="A122" s="493"/>
      <c r="B122" s="494" t="s">
        <v>2152</v>
      </c>
      <c r="C122" s="495"/>
      <c r="D122" s="496"/>
      <c r="E122" s="497"/>
      <c r="F122" s="498"/>
      <c r="G122" s="499"/>
      <c r="H122" s="500">
        <f>SQRT(I122^2+J122^2)*1000/(1.73*H84)</f>
        <v>0</v>
      </c>
      <c r="I122" s="501">
        <v>0</v>
      </c>
      <c r="J122" s="502">
        <v>0</v>
      </c>
      <c r="K122" s="500">
        <f>SQRT(L122^2+M122^2)*1000/(1.73*K84)</f>
        <v>0</v>
      </c>
      <c r="L122" s="501">
        <v>0</v>
      </c>
      <c r="M122" s="502">
        <v>0</v>
      </c>
      <c r="N122" s="500">
        <f>SQRT(O122^2+P122^2)*1000/(1.73*N84)</f>
        <v>0</v>
      </c>
      <c r="O122" s="501">
        <v>0</v>
      </c>
      <c r="P122" s="502">
        <v>0</v>
      </c>
      <c r="Q122" s="500">
        <f>SQRT(R122^2+S122^2)*1000/(1.73*Q84)</f>
        <v>0</v>
      </c>
      <c r="R122" s="501">
        <v>0</v>
      </c>
      <c r="S122" s="502">
        <v>0</v>
      </c>
      <c r="T122" s="623">
        <f>SQRT(U122^2+V122^2)*1000/(1.73*T84)</f>
        <v>0.61167691225494691</v>
      </c>
      <c r="U122" s="624">
        <v>0.01</v>
      </c>
      <c r="V122" s="625">
        <v>4.8432210483785251E-3</v>
      </c>
      <c r="W122" s="623">
        <f>SQRT(X122^2+Y122^2)*1000/(1.73*W84)</f>
        <v>36.22350674373795</v>
      </c>
      <c r="X122" s="624">
        <v>0.59219999999999995</v>
      </c>
      <c r="Y122" s="625">
        <v>0.28681555048497626</v>
      </c>
      <c r="Z122" s="623">
        <f>SQRT(AA122^2+AB122^2)*1000/(1.73*Z84)</f>
        <v>1.2233538245098938</v>
      </c>
      <c r="AA122" s="624">
        <v>0.02</v>
      </c>
      <c r="AB122" s="625">
        <v>9.6864420967570503E-3</v>
      </c>
      <c r="AC122" s="623">
        <f>SQRT(AD122^2+AE122^2)*1000/(1.73*AC84)</f>
        <v>1.8350307367648411</v>
      </c>
      <c r="AD122" s="624">
        <v>0.03</v>
      </c>
      <c r="AE122" s="625">
        <v>1.4529663145135575E-2</v>
      </c>
      <c r="AF122" s="623">
        <f>SQRT(AG122^2+AH122^2)*1000/(1.73*AF84)</f>
        <v>1.2233538245098938</v>
      </c>
      <c r="AG122" s="624">
        <v>0.02</v>
      </c>
      <c r="AH122" s="625">
        <v>9.6864420967570503E-3</v>
      </c>
      <c r="AI122" s="500">
        <f>SQRT(AJ122^2+AK122^2)*1000/(1.73*AI84)</f>
        <v>0</v>
      </c>
      <c r="AJ122" s="501">
        <v>0</v>
      </c>
      <c r="AK122" s="502">
        <v>0</v>
      </c>
      <c r="AL122" s="500">
        <f>SQRT(AM122^2+AN122^2)*1000/(1.73*AL84)</f>
        <v>0</v>
      </c>
      <c r="AM122" s="501">
        <v>0</v>
      </c>
      <c r="AN122" s="502">
        <v>0</v>
      </c>
      <c r="AO122" s="500">
        <f>SQRT(AP122^2+AQ122^2)*1000/(1.73*AO84)</f>
        <v>0</v>
      </c>
      <c r="AP122" s="501">
        <v>0</v>
      </c>
      <c r="AQ122" s="502">
        <v>0</v>
      </c>
    </row>
    <row r="123" spans="1:43" s="433" customFormat="1" ht="16.5" customHeight="1" thickBot="1" x14ac:dyDescent="0.3">
      <c r="A123" s="493"/>
      <c r="B123" s="494" t="s">
        <v>2153</v>
      </c>
      <c r="C123" s="495"/>
      <c r="D123" s="496"/>
      <c r="E123" s="497"/>
      <c r="F123" s="498"/>
      <c r="G123" s="499"/>
      <c r="H123" s="500">
        <f>SQRT(I123^2+J123^2)*1000/(1.73*H92)</f>
        <v>0</v>
      </c>
      <c r="I123" s="501">
        <v>0</v>
      </c>
      <c r="J123" s="649">
        <v>0</v>
      </c>
      <c r="K123" s="623">
        <f>SQRT(L123^2+M123^2)*1000/(1.73*K92)</f>
        <v>1.2233538245098938</v>
      </c>
      <c r="L123" s="624">
        <v>0.02</v>
      </c>
      <c r="M123" s="628">
        <v>9.6864420967570503E-3</v>
      </c>
      <c r="N123" s="623">
        <f>SQRT(O123^2+P123^2)*1000/(1.73*N92)</f>
        <v>0.61167691225494691</v>
      </c>
      <c r="O123" s="624">
        <v>0.01</v>
      </c>
      <c r="P123" s="628">
        <v>4.8432210483785251E-3</v>
      </c>
      <c r="Q123" s="623">
        <f>SQRT(R123^2+S123^2)*1000/(1.73*Q92)</f>
        <v>0.61167691225494691</v>
      </c>
      <c r="R123" s="624">
        <v>0.01</v>
      </c>
      <c r="S123" s="628">
        <v>4.8432210483785251E-3</v>
      </c>
      <c r="T123" s="623">
        <f>SQRT(U123^2+V123^2)*1000/(1.73*T92)</f>
        <v>0.61167691225494691</v>
      </c>
      <c r="U123" s="624">
        <v>0.01</v>
      </c>
      <c r="V123" s="628">
        <v>4.8432210483785251E-3</v>
      </c>
      <c r="W123" s="623">
        <f>SQRT(X123^2+Y123^2)*1000/(1.73*W92)</f>
        <v>36.22350674373795</v>
      </c>
      <c r="X123" s="624">
        <v>0.59219999999999995</v>
      </c>
      <c r="Y123" s="628">
        <v>0.28681555048497626</v>
      </c>
      <c r="Z123" s="623">
        <f>SQRT(AA123^2+AB123^2)*1000/(1.73*Z92)</f>
        <v>1.2233538245098938</v>
      </c>
      <c r="AA123" s="624">
        <v>0.02</v>
      </c>
      <c r="AB123" s="628">
        <v>9.6864420967570503E-3</v>
      </c>
      <c r="AC123" s="623">
        <f>SQRT(AD123^2+AE123^2)*1000/(1.73*AC92)</f>
        <v>0.61167691225494691</v>
      </c>
      <c r="AD123" s="624">
        <v>0.01</v>
      </c>
      <c r="AE123" s="628">
        <v>4.8432210483785251E-3</v>
      </c>
      <c r="AF123" s="623">
        <f>SQRT(AG123^2+AH123^2)*1000/(1.73*AF92)</f>
        <v>0.61167691225494691</v>
      </c>
      <c r="AG123" s="624">
        <v>0.01</v>
      </c>
      <c r="AH123" s="628">
        <v>4.8432210483785251E-3</v>
      </c>
      <c r="AI123" s="623">
        <f>SQRT(AJ123^2+AK123^2)*1000/(1.73*AI92)</f>
        <v>0.61167691225494691</v>
      </c>
      <c r="AJ123" s="624">
        <v>0.01</v>
      </c>
      <c r="AK123" s="628">
        <v>4.8432210483785251E-3</v>
      </c>
      <c r="AL123" s="623">
        <f>SQRT(AM123^2+AN123^2)*1000/(1.73*AL92)</f>
        <v>0.61167691225494691</v>
      </c>
      <c r="AM123" s="624">
        <v>0.01</v>
      </c>
      <c r="AN123" s="628">
        <v>4.8432210483785251E-3</v>
      </c>
      <c r="AO123" s="623">
        <f>SQRT(AP123^2+AQ123^2)*1000/(1.73*AO92)</f>
        <v>0.61167691225494691</v>
      </c>
      <c r="AP123" s="624">
        <v>0.01</v>
      </c>
      <c r="AQ123" s="628">
        <v>4.8432210483785251E-3</v>
      </c>
    </row>
    <row r="124" spans="1:43" ht="16.5" x14ac:dyDescent="0.25">
      <c r="A124" s="1376" t="s">
        <v>2154</v>
      </c>
      <c r="B124" s="1377"/>
      <c r="C124" s="1377"/>
      <c r="D124" s="1377"/>
      <c r="E124" s="1377"/>
      <c r="F124" s="1377"/>
      <c r="G124" s="1378"/>
      <c r="H124" s="490">
        <f>H111+H112+H113+H114+H115+H116+H122</f>
        <v>281.96845991514652</v>
      </c>
      <c r="I124" s="491">
        <f>I111+I112+I113+I114+I115+I116+I122</f>
        <v>5.03</v>
      </c>
      <c r="J124" s="492">
        <f t="shared" ref="J124:AQ124" si="9">J111+J112+J113+J114+J115+J116+J122</f>
        <v>0.96</v>
      </c>
      <c r="K124" s="490">
        <f t="shared" si="9"/>
        <v>290.50305646746244</v>
      </c>
      <c r="L124" s="491">
        <f t="shared" si="9"/>
        <v>5.18</v>
      </c>
      <c r="M124" s="492">
        <f t="shared" si="9"/>
        <v>1</v>
      </c>
      <c r="N124" s="490">
        <f t="shared" si="9"/>
        <v>308.31053075147412</v>
      </c>
      <c r="O124" s="491">
        <f t="shared" si="9"/>
        <v>5.4799999999999995</v>
      </c>
      <c r="P124" s="492">
        <f t="shared" si="9"/>
        <v>1.1499999999999999</v>
      </c>
      <c r="Q124" s="490">
        <f t="shared" si="9"/>
        <v>308.84099966237477</v>
      </c>
      <c r="R124" s="491">
        <f t="shared" si="9"/>
        <v>5.49</v>
      </c>
      <c r="S124" s="492">
        <f t="shared" si="9"/>
        <v>1.1400000000000001</v>
      </c>
      <c r="T124" s="490">
        <f t="shared" si="9"/>
        <v>318.62851535372545</v>
      </c>
      <c r="U124" s="491">
        <f t="shared" si="9"/>
        <v>5.67</v>
      </c>
      <c r="V124" s="492">
        <f t="shared" si="9"/>
        <v>1.1448432210483785</v>
      </c>
      <c r="W124" s="490">
        <f t="shared" si="9"/>
        <v>349.168723758738</v>
      </c>
      <c r="X124" s="491">
        <f t="shared" si="9"/>
        <v>6.1622000000000003</v>
      </c>
      <c r="Y124" s="492">
        <f t="shared" si="9"/>
        <v>1.4068155504849764</v>
      </c>
      <c r="Z124" s="490">
        <f t="shared" si="9"/>
        <v>310.20858813845052</v>
      </c>
      <c r="AA124" s="491">
        <f t="shared" si="9"/>
        <v>5.52</v>
      </c>
      <c r="AB124" s="492">
        <f t="shared" si="9"/>
        <v>1.1196864420967572</v>
      </c>
      <c r="AC124" s="490">
        <f t="shared" si="9"/>
        <v>303.28765983574465</v>
      </c>
      <c r="AD124" s="491">
        <f t="shared" si="9"/>
        <v>5.4</v>
      </c>
      <c r="AE124" s="492">
        <f t="shared" si="9"/>
        <v>1.0745296631451355</v>
      </c>
      <c r="AF124" s="490">
        <f t="shared" si="9"/>
        <v>289.02338637077719</v>
      </c>
      <c r="AG124" s="491">
        <f t="shared" si="9"/>
        <v>5.14</v>
      </c>
      <c r="AH124" s="492">
        <f t="shared" si="9"/>
        <v>1.0596864420967571</v>
      </c>
      <c r="AI124" s="490">
        <f t="shared" si="9"/>
        <v>280.9305169387336</v>
      </c>
      <c r="AJ124" s="491">
        <f t="shared" si="9"/>
        <v>4.99</v>
      </c>
      <c r="AK124" s="492">
        <f t="shared" si="9"/>
        <v>1.0499999999999998</v>
      </c>
      <c r="AL124" s="490">
        <f t="shared" si="9"/>
        <v>270.57715212246467</v>
      </c>
      <c r="AM124" s="491">
        <f t="shared" si="9"/>
        <v>4.8</v>
      </c>
      <c r="AN124" s="492">
        <f t="shared" si="9"/>
        <v>1.04</v>
      </c>
      <c r="AO124" s="490">
        <f t="shared" si="9"/>
        <v>262.72439073679732</v>
      </c>
      <c r="AP124" s="491">
        <f t="shared" si="9"/>
        <v>4.66</v>
      </c>
      <c r="AQ124" s="492">
        <f t="shared" si="9"/>
        <v>1.02</v>
      </c>
    </row>
    <row r="125" spans="1:43" ht="17.25" thickBot="1" x14ac:dyDescent="0.3">
      <c r="A125" s="1379" t="s">
        <v>2155</v>
      </c>
      <c r="B125" s="1380"/>
      <c r="C125" s="1380"/>
      <c r="D125" s="1380"/>
      <c r="E125" s="1380"/>
      <c r="F125" s="1380"/>
      <c r="G125" s="1381"/>
      <c r="H125" s="519">
        <f>H123+H121+H120+H119+H118+H117</f>
        <v>213.01847571429445</v>
      </c>
      <c r="I125" s="520">
        <f t="shared" ref="I125:AQ125" si="10">I123+I121+I120+I119+I118+I117</f>
        <v>3.78</v>
      </c>
      <c r="J125" s="521">
        <f t="shared" si="10"/>
        <v>0.81</v>
      </c>
      <c r="K125" s="519">
        <f t="shared" si="10"/>
        <v>218.90378508776433</v>
      </c>
      <c r="L125" s="520">
        <f t="shared" si="10"/>
        <v>3.88</v>
      </c>
      <c r="M125" s="521">
        <f t="shared" si="10"/>
        <v>0.84968644209675714</v>
      </c>
      <c r="N125" s="519">
        <f t="shared" si="10"/>
        <v>233.39158509687667</v>
      </c>
      <c r="O125" s="520">
        <f t="shared" si="10"/>
        <v>4.1399999999999997</v>
      </c>
      <c r="P125" s="521">
        <f t="shared" si="10"/>
        <v>0.89484322104837855</v>
      </c>
      <c r="Q125" s="519">
        <f t="shared" si="10"/>
        <v>235.74355653495473</v>
      </c>
      <c r="R125" s="520">
        <f t="shared" si="10"/>
        <v>4.1899999999999995</v>
      </c>
      <c r="S125" s="521">
        <f t="shared" si="10"/>
        <v>0.86484322104837852</v>
      </c>
      <c r="T125" s="519">
        <f t="shared" si="10"/>
        <v>237.72374983838171</v>
      </c>
      <c r="U125" s="520">
        <f t="shared" si="10"/>
        <v>4.2299999999999995</v>
      </c>
      <c r="V125" s="521">
        <f t="shared" si="10"/>
        <v>0.8448432210483785</v>
      </c>
      <c r="W125" s="519">
        <f t="shared" si="10"/>
        <v>271.3648043208886</v>
      </c>
      <c r="X125" s="520">
        <f t="shared" si="10"/>
        <v>4.7821999999999996</v>
      </c>
      <c r="Y125" s="521">
        <f t="shared" si="10"/>
        <v>1.0968155504849764</v>
      </c>
      <c r="Z125" s="519">
        <f t="shared" si="10"/>
        <v>234.72889639033986</v>
      </c>
      <c r="AA125" s="520">
        <f t="shared" si="10"/>
        <v>4.18</v>
      </c>
      <c r="AB125" s="521">
        <f t="shared" si="10"/>
        <v>0.81968644209675712</v>
      </c>
      <c r="AC125" s="519">
        <f t="shared" si="10"/>
        <v>231.19594156620349</v>
      </c>
      <c r="AD125" s="520">
        <f t="shared" si="10"/>
        <v>4.12</v>
      </c>
      <c r="AE125" s="521">
        <f t="shared" si="10"/>
        <v>0.79484322104837868</v>
      </c>
      <c r="AF125" s="519">
        <f t="shared" si="10"/>
        <v>221.26304452668546</v>
      </c>
      <c r="AG125" s="520">
        <f t="shared" si="10"/>
        <v>3.9399999999999995</v>
      </c>
      <c r="AH125" s="521">
        <f t="shared" si="10"/>
        <v>0.77484322104837866</v>
      </c>
      <c r="AI125" s="519">
        <f t="shared" si="10"/>
        <v>211.43062287248327</v>
      </c>
      <c r="AJ125" s="520">
        <f t="shared" si="10"/>
        <v>3.76</v>
      </c>
      <c r="AK125" s="521">
        <f t="shared" si="10"/>
        <v>0.76484322104837865</v>
      </c>
      <c r="AL125" s="519">
        <f t="shared" si="10"/>
        <v>202.04960913765009</v>
      </c>
      <c r="AM125" s="520">
        <f t="shared" si="10"/>
        <v>3.59</v>
      </c>
      <c r="AN125" s="521">
        <f t="shared" si="10"/>
        <v>0.74484322104837863</v>
      </c>
      <c r="AO125" s="519">
        <f t="shared" si="10"/>
        <v>196.57659179506922</v>
      </c>
      <c r="AP125" s="520">
        <f t="shared" si="10"/>
        <v>3.4899999999999998</v>
      </c>
      <c r="AQ125" s="521">
        <f t="shared" si="10"/>
        <v>0.73484322104837863</v>
      </c>
    </row>
    <row r="126" spans="1:43" ht="17.25" thickBot="1" x14ac:dyDescent="0.3">
      <c r="A126" s="1382" t="s">
        <v>2156</v>
      </c>
      <c r="B126" s="1383"/>
      <c r="C126" s="1383"/>
      <c r="D126" s="1383"/>
      <c r="E126" s="1383"/>
      <c r="F126" s="1383"/>
      <c r="G126" s="1383"/>
      <c r="H126" s="525">
        <f t="shared" ref="H126:AQ126" si="11">H124+H125</f>
        <v>494.98693562944095</v>
      </c>
      <c r="I126" s="526">
        <f t="shared" si="11"/>
        <v>8.81</v>
      </c>
      <c r="J126" s="527">
        <f t="shared" si="11"/>
        <v>1.77</v>
      </c>
      <c r="K126" s="525">
        <f t="shared" si="11"/>
        <v>509.40684155522678</v>
      </c>
      <c r="L126" s="526">
        <f t="shared" si="11"/>
        <v>9.0599999999999987</v>
      </c>
      <c r="M126" s="527">
        <f t="shared" si="11"/>
        <v>1.8496864420967571</v>
      </c>
      <c r="N126" s="525">
        <f t="shared" si="11"/>
        <v>541.70211584835079</v>
      </c>
      <c r="O126" s="526">
        <f t="shared" si="11"/>
        <v>9.6199999999999992</v>
      </c>
      <c r="P126" s="527">
        <f t="shared" si="11"/>
        <v>2.0448432210483785</v>
      </c>
      <c r="Q126" s="525">
        <f t="shared" si="11"/>
        <v>544.58455619732945</v>
      </c>
      <c r="R126" s="526">
        <f t="shared" si="11"/>
        <v>9.68</v>
      </c>
      <c r="S126" s="527">
        <f t="shared" si="11"/>
        <v>2.0048432210483789</v>
      </c>
      <c r="T126" s="525">
        <f t="shared" si="11"/>
        <v>556.3522651921071</v>
      </c>
      <c r="U126" s="526">
        <f t="shared" si="11"/>
        <v>9.8999999999999986</v>
      </c>
      <c r="V126" s="527">
        <f t="shared" si="11"/>
        <v>1.989686442096757</v>
      </c>
      <c r="W126" s="525">
        <f t="shared" si="11"/>
        <v>620.53352807962665</v>
      </c>
      <c r="X126" s="526">
        <f t="shared" si="11"/>
        <v>10.9444</v>
      </c>
      <c r="Y126" s="527">
        <f t="shared" si="11"/>
        <v>2.5036311009699528</v>
      </c>
      <c r="Z126" s="525">
        <f t="shared" si="11"/>
        <v>544.93748452879038</v>
      </c>
      <c r="AA126" s="526">
        <f t="shared" si="11"/>
        <v>9.6999999999999993</v>
      </c>
      <c r="AB126" s="527">
        <f t="shared" si="11"/>
        <v>1.9393728841935143</v>
      </c>
      <c r="AC126" s="525">
        <f t="shared" si="11"/>
        <v>534.48360140194814</v>
      </c>
      <c r="AD126" s="526">
        <f t="shared" si="11"/>
        <v>9.52</v>
      </c>
      <c r="AE126" s="527">
        <f t="shared" si="11"/>
        <v>1.8693728841935142</v>
      </c>
      <c r="AF126" s="525">
        <f t="shared" si="11"/>
        <v>510.28643089746265</v>
      </c>
      <c r="AG126" s="526">
        <f t="shared" si="11"/>
        <v>9.0799999999999983</v>
      </c>
      <c r="AH126" s="527">
        <f t="shared" si="11"/>
        <v>1.8345296631451358</v>
      </c>
      <c r="AI126" s="525">
        <f t="shared" si="11"/>
        <v>492.36113981121684</v>
      </c>
      <c r="AJ126" s="526">
        <f t="shared" si="11"/>
        <v>8.75</v>
      </c>
      <c r="AK126" s="527">
        <f t="shared" si="11"/>
        <v>1.8148432210483785</v>
      </c>
      <c r="AL126" s="525">
        <f t="shared" si="11"/>
        <v>472.62676126011479</v>
      </c>
      <c r="AM126" s="526">
        <f t="shared" si="11"/>
        <v>8.39</v>
      </c>
      <c r="AN126" s="527">
        <f t="shared" si="11"/>
        <v>1.7848432210483787</v>
      </c>
      <c r="AO126" s="525">
        <f t="shared" si="11"/>
        <v>459.30098253186657</v>
      </c>
      <c r="AP126" s="526">
        <f t="shared" si="11"/>
        <v>8.15</v>
      </c>
      <c r="AQ126" s="527">
        <f t="shared" si="11"/>
        <v>1.7548432210483786</v>
      </c>
    </row>
    <row r="127" spans="1:43" ht="16.5" x14ac:dyDescent="0.25">
      <c r="A127" s="528"/>
      <c r="B127" s="438"/>
      <c r="C127" s="474"/>
      <c r="D127" s="476"/>
      <c r="E127" s="477"/>
      <c r="F127" s="476"/>
      <c r="G127" s="477"/>
      <c r="H127" s="478"/>
      <c r="I127" s="476"/>
      <c r="J127" s="476"/>
      <c r="K127" s="478"/>
      <c r="L127" s="476"/>
      <c r="M127" s="476"/>
      <c r="N127" s="478"/>
      <c r="O127" s="476"/>
      <c r="P127" s="476"/>
      <c r="Q127" s="478"/>
      <c r="R127" s="476"/>
      <c r="S127" s="476"/>
      <c r="T127" s="478"/>
      <c r="U127" s="476"/>
      <c r="V127" s="476"/>
      <c r="W127" s="478"/>
      <c r="X127" s="476"/>
      <c r="Y127" s="476"/>
      <c r="Z127" s="478"/>
      <c r="AA127" s="476"/>
      <c r="AB127" s="476"/>
      <c r="AC127" s="478"/>
      <c r="AD127" s="476"/>
      <c r="AE127" s="476"/>
      <c r="AF127" s="478"/>
      <c r="AG127" s="476"/>
      <c r="AH127" s="476"/>
      <c r="AI127" s="478"/>
      <c r="AJ127" s="476"/>
      <c r="AK127" s="476"/>
      <c r="AL127" s="478"/>
      <c r="AM127" s="476"/>
      <c r="AN127" s="476"/>
      <c r="AO127" s="478"/>
      <c r="AP127" s="476"/>
      <c r="AQ127" s="476"/>
    </row>
    <row r="128" spans="1:43" s="433" customFormat="1" ht="16.5" hidden="1" customHeight="1" x14ac:dyDescent="0.25">
      <c r="A128" s="529" t="s">
        <v>2157</v>
      </c>
      <c r="B128" s="438"/>
      <c r="C128" s="438"/>
      <c r="D128" s="438"/>
      <c r="E128" s="438"/>
      <c r="F128" s="438"/>
      <c r="G128" s="438"/>
      <c r="H128" s="530"/>
      <c r="I128" s="531"/>
      <c r="J128" s="476"/>
      <c r="K128" s="532"/>
      <c r="L128" s="532"/>
      <c r="M128" s="532"/>
      <c r="N128" s="532"/>
      <c r="O128" s="532"/>
      <c r="P128" s="532"/>
      <c r="Q128" s="532"/>
      <c r="R128" s="532"/>
      <c r="S128" s="532"/>
      <c r="T128" s="532"/>
      <c r="U128" s="532"/>
      <c r="V128" s="532"/>
      <c r="W128" s="532"/>
      <c r="X128" s="532"/>
      <c r="Y128" s="532"/>
      <c r="Z128" s="532"/>
      <c r="AA128" s="532"/>
      <c r="AB128" s="532"/>
      <c r="AC128" s="532"/>
      <c r="AD128" s="532"/>
      <c r="AE128" s="532"/>
      <c r="AF128" s="532"/>
      <c r="AG128" s="532"/>
      <c r="AH128" s="532"/>
      <c r="AI128" s="532"/>
      <c r="AJ128" s="532"/>
      <c r="AK128" s="532"/>
      <c r="AL128" s="532"/>
      <c r="AM128" s="532"/>
      <c r="AN128" s="532"/>
      <c r="AO128" s="532"/>
      <c r="AP128" s="532"/>
      <c r="AQ128" s="532"/>
    </row>
    <row r="129" spans="1:43" ht="16.5" hidden="1" x14ac:dyDescent="0.25">
      <c r="A129" s="1358" t="s">
        <v>12</v>
      </c>
      <c r="B129" s="533" t="s">
        <v>2158</v>
      </c>
      <c r="C129" s="534"/>
      <c r="D129" s="534" t="s">
        <v>2159</v>
      </c>
      <c r="E129" s="534"/>
      <c r="F129" s="534"/>
      <c r="G129" s="535"/>
      <c r="H129" s="536">
        <f>$C$62/1000</f>
        <v>3.1800000000000002E-2</v>
      </c>
      <c r="I129" s="537" t="s">
        <v>2160</v>
      </c>
      <c r="J129" s="538">
        <f>$G$62/1000</f>
        <v>4.0799999999999996E-2</v>
      </c>
      <c r="K129" s="536">
        <f>$C$62/1000</f>
        <v>3.1800000000000002E-2</v>
      </c>
      <c r="L129" s="537" t="s">
        <v>2160</v>
      </c>
      <c r="M129" s="538">
        <f>$G$62/1000</f>
        <v>4.0799999999999996E-2</v>
      </c>
      <c r="N129" s="536">
        <f>$C$62/1000</f>
        <v>3.1800000000000002E-2</v>
      </c>
      <c r="O129" s="537" t="s">
        <v>2160</v>
      </c>
      <c r="P129" s="538">
        <f>$G$62/1000</f>
        <v>4.0799999999999996E-2</v>
      </c>
      <c r="Q129" s="536">
        <f>$C$62/1000</f>
        <v>3.1800000000000002E-2</v>
      </c>
      <c r="R129" s="537" t="s">
        <v>2160</v>
      </c>
      <c r="S129" s="538">
        <f>$G$62/1000</f>
        <v>4.0799999999999996E-2</v>
      </c>
      <c r="T129" s="536">
        <f>$C$62/1000</f>
        <v>3.1800000000000002E-2</v>
      </c>
      <c r="U129" s="537" t="s">
        <v>2160</v>
      </c>
      <c r="V129" s="538">
        <f>$G$62/1000</f>
        <v>4.0799999999999996E-2</v>
      </c>
      <c r="W129" s="536">
        <f>$C$62/1000</f>
        <v>3.1800000000000002E-2</v>
      </c>
      <c r="X129" s="537" t="s">
        <v>2160</v>
      </c>
      <c r="Y129" s="538">
        <f>$G$62/1000</f>
        <v>4.0799999999999996E-2</v>
      </c>
      <c r="Z129" s="536">
        <f>$C$62/1000</f>
        <v>3.1800000000000002E-2</v>
      </c>
      <c r="AA129" s="537" t="s">
        <v>2160</v>
      </c>
      <c r="AB129" s="538">
        <f>$G$62/1000</f>
        <v>4.0799999999999996E-2</v>
      </c>
      <c r="AC129" s="536">
        <f>$C$62/1000</f>
        <v>3.1800000000000002E-2</v>
      </c>
      <c r="AD129" s="537" t="s">
        <v>2160</v>
      </c>
      <c r="AE129" s="538">
        <f>$G$62/1000</f>
        <v>4.0799999999999996E-2</v>
      </c>
      <c r="AF129" s="536">
        <f>$C$62/1000</f>
        <v>3.1800000000000002E-2</v>
      </c>
      <c r="AG129" s="537" t="s">
        <v>2160</v>
      </c>
      <c r="AH129" s="538">
        <f>$G$62/1000</f>
        <v>4.0799999999999996E-2</v>
      </c>
      <c r="AI129" s="536">
        <f>$C$62/1000</f>
        <v>3.1800000000000002E-2</v>
      </c>
      <c r="AJ129" s="537" t="s">
        <v>2160</v>
      </c>
      <c r="AK129" s="538">
        <f>$G$62/1000</f>
        <v>4.0799999999999996E-2</v>
      </c>
      <c r="AL129" s="536">
        <f>$C$62/1000</f>
        <v>3.1800000000000002E-2</v>
      </c>
      <c r="AM129" s="537" t="s">
        <v>2160</v>
      </c>
      <c r="AN129" s="538">
        <f>$G$62/1000</f>
        <v>4.0799999999999996E-2</v>
      </c>
      <c r="AO129" s="536">
        <f>$C$62/1000</f>
        <v>3.1800000000000002E-2</v>
      </c>
      <c r="AP129" s="537" t="s">
        <v>2160</v>
      </c>
      <c r="AQ129" s="538">
        <f>$G$62/1000</f>
        <v>4.0799999999999996E-2</v>
      </c>
    </row>
    <row r="130" spans="1:43" ht="17.25" hidden="1" thickBot="1" x14ac:dyDescent="0.3">
      <c r="A130" s="1359"/>
      <c r="B130" s="539" t="s">
        <v>2161</v>
      </c>
      <c r="C130" s="540"/>
      <c r="D130" s="540" t="s">
        <v>2162</v>
      </c>
      <c r="E130" s="540"/>
      <c r="F130" s="540"/>
      <c r="G130" s="541"/>
      <c r="H130" s="542">
        <f>(((I78^2+J78^2)*$C$63/1000)+((I79^2+J79^2)*$G$63/1000)+((I80^2+J80^2)*$J$63/1000))/$C$9*$C$9</f>
        <v>7.1000329222000005</v>
      </c>
      <c r="I130" s="543" t="s">
        <v>2160</v>
      </c>
      <c r="J130" s="544">
        <f>(((I78^2+J78^2)*$M$63)+((I79^2+J79^2)*$P$63)+((I80^2+J80^2)*S132))/(100*$C$9)</f>
        <v>0.22717572967499999</v>
      </c>
      <c r="K130" s="542">
        <f>(((L78^2+M78^2)*$C$63/1000)+((L79^2+M79^2)*$G$63/1000)+((L80^2+M80^2)*$J$63/1000))/$C$9*$C$9</f>
        <v>7.6355162476</v>
      </c>
      <c r="L130" s="543" t="s">
        <v>2160</v>
      </c>
      <c r="M130" s="544">
        <f>(((L78^2+M78^2)*$M$63)+((L79^2+M79^2)*$P$63)+((L80^2+M80^2)*V132))/(100*$C$9)</f>
        <v>0.24581299265000001</v>
      </c>
      <c r="N130" s="542">
        <f>(((O78^2+P78^2)*$C$63/1000)+((O79^2+P79^2)*$G$63/1000)+((O80^2+P80^2)*$J$63/1000))/$C$9*$C$9</f>
        <v>8.6512930789999984</v>
      </c>
      <c r="O130" s="543" t="s">
        <v>2160</v>
      </c>
      <c r="P130" s="544">
        <f>(((O78^2+P78^2)*$M$63)+((O79^2+P79^2)*$P$63)+((O80^2+P80^2)*Y132))/(100*$C$9)</f>
        <v>0.27930375437499999</v>
      </c>
      <c r="Q130" s="542">
        <f>(((R78^2+S78^2)*$C$63/1000)+((R79^2+S79^2)*$G$63/1000)+((R80^2+S80^2)*$J$63/1000))/$C$9*$C$9</f>
        <v>8.6609127702000013</v>
      </c>
      <c r="R130" s="543" t="s">
        <v>2160</v>
      </c>
      <c r="S130" s="544">
        <f>(((R78^2+S78^2)*$M$63)+((R79^2+S79^2)*$P$63)+((R80^2+S80^2)*AB132))/(100*$C$9)</f>
        <v>0.27939276617499997</v>
      </c>
      <c r="T130" s="542">
        <f>(((U78^2+V78^2)*$C$63/1000)+((U79^2+V79^2)*$G$63/1000)+((U80^2+V80^2)*$J$63/1000))/$C$9*$C$9</f>
        <v>9.0891524837357096</v>
      </c>
      <c r="U130" s="543" t="s">
        <v>2160</v>
      </c>
      <c r="V130" s="544">
        <f>(((U78^2+V78^2)*$M$63)+((U79^2+V79^2)*$P$63)+((U80^2+V80^2)*AE132))/(100*$C$9)</f>
        <v>0.29130534118749996</v>
      </c>
      <c r="W130" s="542">
        <f>(((X78^2+Y78^2)*$C$63/1000)+((X79^2+Y79^2)*$G$63/1000)+((X80^2+Y80^2)*$J$63/1000))/$C$9*$C$9</f>
        <v>6.7107473994151263</v>
      </c>
      <c r="X130" s="543" t="s">
        <v>2160</v>
      </c>
      <c r="Y130" s="544">
        <f>(((X78^2+Y78^2)*$M$63)+((X79^2+Y79^2)*$P$63)+((X80^2+Y80^2)*AH132))/(100*$C$9)</f>
        <v>0.21767375153749996</v>
      </c>
      <c r="Z130" s="542">
        <f>(((AA78^2+AB78^2)*$C$63/1000)+((AA79^2+AB79^2)*$G$63/1000)+((AA80^2+AB80^2)*$J$63/1000))/$C$9*$C$9</f>
        <v>8.6575144706529699</v>
      </c>
      <c r="AA130" s="543" t="s">
        <v>2160</v>
      </c>
      <c r="AB130" s="544">
        <f>(((AA78^2+AB78^2)*$M$63)+((AA79^2+AB79^2)*$P$63)+((AA80^2+AB80^2)*AK132))/(100*$C$9)</f>
        <v>0.27807424687499999</v>
      </c>
      <c r="AC130" s="542">
        <f>(((AD78^2+AE78^2)*$C$63/1000)+((AD79^2+AE79^2)*$G$63/1000)+((AD80^2+AE80^2)*$J$63/1000))/$C$9*$C$9</f>
        <v>8.2987559478469137</v>
      </c>
      <c r="AD130" s="543" t="s">
        <v>2160</v>
      </c>
      <c r="AE130" s="544">
        <f>(((AD78^2+AE78^2)*$M$63)+((AD79^2+AE79^2)*$P$63)+((AD80^2+AE80^2)*AN132))/(100*$C$9)</f>
        <v>0.26692752474999998</v>
      </c>
      <c r="AF130" s="542">
        <f>(((AG78^2+AH78^2)*$C$63/1000)+((AG79^2+AH79^2)*$G$63/1000)+((AG80^2+AH80^2)*$J$63/1000))/$C$9*$C$9</f>
        <v>7.513059170443233</v>
      </c>
      <c r="AG130" s="543" t="s">
        <v>2160</v>
      </c>
      <c r="AH130" s="544">
        <f>(((AG78^2+AH78^2)*$M$63)+((AG79^2+AH79^2)*$P$63)+((AG80^2+AH80^2)*AQ132))/(100*$C$9)</f>
        <v>0.24127334689999999</v>
      </c>
      <c r="AI130" s="542">
        <f>(((AJ78^2+AK78^2)*$C$63/1000)+((AJ79^2+AK79^2)*$G$63/1000)+((AJ80^2+AK80^2)*$J$63/1000))/$C$9*$C$9</f>
        <v>7.0723266562000013</v>
      </c>
      <c r="AJ130" s="543" t="s">
        <v>2160</v>
      </c>
      <c r="AK130" s="544">
        <f>(((AJ78^2+AK78^2)*$M$63)+((AJ79^2+AK79^2)*$P$63)+((AJ80^2+AK80^2)*CD63))/(100*$C$9)</f>
        <v>0.22681506948749999</v>
      </c>
      <c r="AL130" s="542">
        <f>(((AM78^2+AN78^2)*$C$63/1000)+((AM79^2+AN79^2)*$G$63/1000)+((AM80^2+AN80^2)*$J$63/1000))/$C$9*$C$9</f>
        <v>6.6531540024000009</v>
      </c>
      <c r="AM130" s="543" t="s">
        <v>2160</v>
      </c>
      <c r="AN130" s="544">
        <f>(((AM78^2+AN78^2)*$M$63)+((AM79^2+AN79^2)*$P$63)+((AM80^2+AN80^2)*CG63))/(100*$C$9)</f>
        <v>0.21476313047500001</v>
      </c>
      <c r="AO130" s="542">
        <f>(((AP78^2+AQ78^2)*$C$63/1000)+((AP79^2+AQ79^2)*$G$63/1000)+((AP80^2+AQ80^2)*$J$63/1000))/$C$9*$C$9</f>
        <v>6.3274039126000003</v>
      </c>
      <c r="AP130" s="543" t="s">
        <v>2160</v>
      </c>
      <c r="AQ130" s="544">
        <f>(((AP78^2+AQ78^2)*$M$63)+((AP79^2+AQ79^2)*$P$63)+((AP80^2+AQ80^2)*CJ63))/(100*$C$9)</f>
        <v>0.20499293458750001</v>
      </c>
    </row>
    <row r="131" spans="1:43" ht="16.5" hidden="1" x14ac:dyDescent="0.25">
      <c r="A131" s="1359"/>
      <c r="B131" s="545" t="s">
        <v>2163</v>
      </c>
      <c r="C131" s="546">
        <v>31.8</v>
      </c>
      <c r="D131" s="547"/>
      <c r="E131" s="1361" t="s">
        <v>2164</v>
      </c>
      <c r="F131" s="1361"/>
      <c r="G131" s="548">
        <v>40.799999999999997</v>
      </c>
      <c r="H131" s="1362"/>
      <c r="I131" s="1363"/>
      <c r="J131" s="1364"/>
      <c r="K131" s="1362"/>
      <c r="L131" s="1363"/>
      <c r="M131" s="1364"/>
      <c r="N131" s="1362"/>
      <c r="O131" s="1363"/>
      <c r="P131" s="1364"/>
      <c r="Q131" s="1362"/>
      <c r="R131" s="1363"/>
      <c r="S131" s="1364"/>
      <c r="T131" s="1362"/>
      <c r="U131" s="1363"/>
      <c r="V131" s="1364"/>
      <c r="W131" s="1362"/>
      <c r="X131" s="1363"/>
      <c r="Y131" s="1364"/>
      <c r="Z131" s="1362"/>
      <c r="AA131" s="1363"/>
      <c r="AB131" s="1364"/>
      <c r="AC131" s="1362"/>
      <c r="AD131" s="1363"/>
      <c r="AE131" s="1364"/>
      <c r="AF131" s="1362"/>
      <c r="AG131" s="1363"/>
      <c r="AH131" s="1364"/>
      <c r="AI131" s="1362"/>
      <c r="AJ131" s="1363"/>
      <c r="AK131" s="1364"/>
      <c r="AL131" s="1362"/>
      <c r="AM131" s="1363"/>
      <c r="AN131" s="1364"/>
      <c r="AO131" s="1362"/>
      <c r="AP131" s="1363"/>
      <c r="AQ131" s="1364"/>
    </row>
    <row r="132" spans="1:43" ht="17.25" hidden="1" thickBot="1" x14ac:dyDescent="0.3">
      <c r="A132" s="1359"/>
      <c r="B132" s="632" t="s">
        <v>2197</v>
      </c>
      <c r="C132" s="471">
        <v>134.19999999999999</v>
      </c>
      <c r="D132" s="473"/>
      <c r="E132" s="552"/>
      <c r="F132" s="552" t="s">
        <v>2198</v>
      </c>
      <c r="G132" s="469">
        <v>78.150000000000006</v>
      </c>
      <c r="H132" s="1365"/>
      <c r="I132" s="1366"/>
      <c r="J132" s="1367"/>
      <c r="K132" s="1365"/>
      <c r="L132" s="1366"/>
      <c r="M132" s="1367"/>
      <c r="N132" s="1365"/>
      <c r="O132" s="1366"/>
      <c r="P132" s="1367"/>
      <c r="Q132" s="1365"/>
      <c r="R132" s="1366"/>
      <c r="S132" s="1367"/>
      <c r="T132" s="1365"/>
      <c r="U132" s="1366"/>
      <c r="V132" s="1367"/>
      <c r="W132" s="1365"/>
      <c r="X132" s="1366"/>
      <c r="Y132" s="1367"/>
      <c r="Z132" s="1365"/>
      <c r="AA132" s="1366"/>
      <c r="AB132" s="1367"/>
      <c r="AC132" s="1365"/>
      <c r="AD132" s="1366"/>
      <c r="AE132" s="1367"/>
      <c r="AF132" s="1365"/>
      <c r="AG132" s="1366"/>
      <c r="AH132" s="1367"/>
      <c r="AI132" s="1365"/>
      <c r="AJ132" s="1366"/>
      <c r="AK132" s="1367"/>
      <c r="AL132" s="1365"/>
      <c r="AM132" s="1366"/>
      <c r="AN132" s="1367"/>
      <c r="AO132" s="1365"/>
      <c r="AP132" s="1366"/>
      <c r="AQ132" s="1367"/>
    </row>
    <row r="133" spans="1:43" ht="17.25" hidden="1" thickBot="1" x14ac:dyDescent="0.3">
      <c r="A133" s="1360"/>
      <c r="B133" s="1355" t="s">
        <v>2167</v>
      </c>
      <c r="C133" s="1356"/>
      <c r="D133" s="1356"/>
      <c r="E133" s="1356"/>
      <c r="F133" s="1356"/>
      <c r="G133" s="1357"/>
      <c r="H133" s="554">
        <f>I78</f>
        <v>5.6710000000000003</v>
      </c>
      <c r="I133" s="555" t="s">
        <v>2160</v>
      </c>
      <c r="J133" s="556">
        <f>J78</f>
        <v>1.2549999999999999</v>
      </c>
      <c r="K133" s="554">
        <f>L78</f>
        <v>5.8920000000000003</v>
      </c>
      <c r="L133" s="555" t="s">
        <v>2160</v>
      </c>
      <c r="M133" s="556">
        <f>M78</f>
        <v>1.3380000000000001</v>
      </c>
      <c r="N133" s="554">
        <f>O78</f>
        <v>6.2450000000000001</v>
      </c>
      <c r="O133" s="555" t="s">
        <v>2160</v>
      </c>
      <c r="P133" s="556">
        <f>P78</f>
        <v>1.575</v>
      </c>
      <c r="Q133" s="554">
        <f>R78</f>
        <v>6.2549999999999999</v>
      </c>
      <c r="R133" s="555" t="s">
        <v>2160</v>
      </c>
      <c r="S133" s="556">
        <f>S78</f>
        <v>1.5389999999999999</v>
      </c>
      <c r="T133" s="554">
        <f>U78</f>
        <v>6.3959999999999999</v>
      </c>
      <c r="U133" s="555" t="s">
        <v>2160</v>
      </c>
      <c r="V133" s="556">
        <f>V78</f>
        <v>1.5329999999999999</v>
      </c>
      <c r="W133" s="554">
        <f>X78</f>
        <v>5.4909999999999997</v>
      </c>
      <c r="X133" s="555" t="s">
        <v>2160</v>
      </c>
      <c r="Y133" s="556">
        <f>Y78</f>
        <v>1.476</v>
      </c>
      <c r="Z133" s="554">
        <f>AA78</f>
        <v>6.2450000000000001</v>
      </c>
      <c r="AA133" s="555" t="s">
        <v>2160</v>
      </c>
      <c r="AB133" s="556">
        <f>AB78</f>
        <v>1.5149999999999999</v>
      </c>
      <c r="AC133" s="554">
        <f>AD78</f>
        <v>6.1239999999999997</v>
      </c>
      <c r="AD133" s="555" t="s">
        <v>2160</v>
      </c>
      <c r="AE133" s="556">
        <f>AE78</f>
        <v>1.462</v>
      </c>
      <c r="AF133" s="554">
        <f>AG78</f>
        <v>5.8120000000000003</v>
      </c>
      <c r="AG133" s="555" t="s">
        <v>2160</v>
      </c>
      <c r="AH133" s="556">
        <f>AH78</f>
        <v>1.4319999999999999</v>
      </c>
      <c r="AI133" s="554">
        <f>AJ78</f>
        <v>5.63</v>
      </c>
      <c r="AJ133" s="555" t="s">
        <v>2160</v>
      </c>
      <c r="AK133" s="556">
        <f>AK78</f>
        <v>1.409</v>
      </c>
      <c r="AL133" s="554">
        <f>AM78</f>
        <v>5.4690000000000003</v>
      </c>
      <c r="AM133" s="555" t="s">
        <v>2160</v>
      </c>
      <c r="AN133" s="556">
        <f>AN78</f>
        <v>1.409</v>
      </c>
      <c r="AO133" s="554">
        <f>AP78</f>
        <v>5.3380000000000001</v>
      </c>
      <c r="AP133" s="555" t="s">
        <v>2160</v>
      </c>
      <c r="AQ133" s="556">
        <f>AQ78</f>
        <v>1.397</v>
      </c>
    </row>
    <row r="134" spans="1:43" ht="16.5" hidden="1" x14ac:dyDescent="0.25">
      <c r="A134" s="1358" t="s">
        <v>16</v>
      </c>
      <c r="B134" s="533" t="s">
        <v>2158</v>
      </c>
      <c r="C134" s="534"/>
      <c r="D134" s="534" t="s">
        <v>2159</v>
      </c>
      <c r="E134" s="534"/>
      <c r="F134" s="534"/>
      <c r="G134" s="534"/>
      <c r="H134" s="536">
        <f>$C$67/1000</f>
        <v>3.2500000000000001E-2</v>
      </c>
      <c r="I134" s="537" t="s">
        <v>2160</v>
      </c>
      <c r="J134" s="538">
        <f>$G$67/1000</f>
        <v>4.6399999999999997E-2</v>
      </c>
      <c r="K134" s="536">
        <f>$C$67/1000</f>
        <v>3.2500000000000001E-2</v>
      </c>
      <c r="L134" s="537" t="s">
        <v>2160</v>
      </c>
      <c r="M134" s="538">
        <f>$G$67/1000</f>
        <v>4.6399999999999997E-2</v>
      </c>
      <c r="N134" s="536">
        <f>$C$67/1000</f>
        <v>3.2500000000000001E-2</v>
      </c>
      <c r="O134" s="537" t="s">
        <v>2160</v>
      </c>
      <c r="P134" s="538">
        <f>$G$67/1000</f>
        <v>4.6399999999999997E-2</v>
      </c>
      <c r="Q134" s="536">
        <f>$C$67/1000</f>
        <v>3.2500000000000001E-2</v>
      </c>
      <c r="R134" s="537" t="s">
        <v>2160</v>
      </c>
      <c r="S134" s="538">
        <f>$G$67/1000</f>
        <v>4.6399999999999997E-2</v>
      </c>
      <c r="T134" s="536">
        <f>$C$67/1000</f>
        <v>3.2500000000000001E-2</v>
      </c>
      <c r="U134" s="537" t="s">
        <v>2160</v>
      </c>
      <c r="V134" s="538">
        <f>$G$67/1000</f>
        <v>4.6399999999999997E-2</v>
      </c>
      <c r="W134" s="536">
        <f>$C$67/1000</f>
        <v>3.2500000000000001E-2</v>
      </c>
      <c r="X134" s="537" t="s">
        <v>2160</v>
      </c>
      <c r="Y134" s="538">
        <f>$G$67/1000</f>
        <v>4.6399999999999997E-2</v>
      </c>
      <c r="Z134" s="536">
        <f>$C$67/1000</f>
        <v>3.2500000000000001E-2</v>
      </c>
      <c r="AA134" s="537" t="s">
        <v>2160</v>
      </c>
      <c r="AB134" s="538">
        <f>$G$67/1000</f>
        <v>4.6399999999999997E-2</v>
      </c>
      <c r="AC134" s="536">
        <f>$C$67/1000</f>
        <v>3.2500000000000001E-2</v>
      </c>
      <c r="AD134" s="537" t="s">
        <v>2160</v>
      </c>
      <c r="AE134" s="538">
        <f>$G$67/1000</f>
        <v>4.6399999999999997E-2</v>
      </c>
      <c r="AF134" s="536">
        <f>$C$67/1000</f>
        <v>3.2500000000000001E-2</v>
      </c>
      <c r="AG134" s="537" t="s">
        <v>2160</v>
      </c>
      <c r="AH134" s="538">
        <f>$G$67/1000</f>
        <v>4.6399999999999997E-2</v>
      </c>
      <c r="AI134" s="536">
        <f>$C$67/1000</f>
        <v>3.2500000000000001E-2</v>
      </c>
      <c r="AJ134" s="537" t="s">
        <v>2160</v>
      </c>
      <c r="AK134" s="538">
        <f>$G$67/1000</f>
        <v>4.6399999999999997E-2</v>
      </c>
      <c r="AL134" s="536">
        <f>$C$67/1000</f>
        <v>3.2500000000000001E-2</v>
      </c>
      <c r="AM134" s="537" t="s">
        <v>2160</v>
      </c>
      <c r="AN134" s="538">
        <f>$G$67/1000</f>
        <v>4.6399999999999997E-2</v>
      </c>
      <c r="AO134" s="536">
        <f>$C$67/1000</f>
        <v>3.2500000000000001E-2</v>
      </c>
      <c r="AP134" s="537" t="s">
        <v>2160</v>
      </c>
      <c r="AQ134" s="538">
        <f>$G$67/1000</f>
        <v>4.6399999999999997E-2</v>
      </c>
    </row>
    <row r="135" spans="1:43" ht="17.25" hidden="1" thickBot="1" x14ac:dyDescent="0.3">
      <c r="A135" s="1359"/>
      <c r="B135" s="539" t="s">
        <v>2161</v>
      </c>
      <c r="C135" s="540"/>
      <c r="D135" s="540" t="s">
        <v>2162</v>
      </c>
      <c r="E135" s="540"/>
      <c r="F135" s="540"/>
      <c r="G135" s="557"/>
      <c r="H135" s="542">
        <f>(((I78^2+J78^2)*$C$68/1000)+((I79^2+J79^2)*$G$68/1000)+((I80^2+J80^2)*$J$68/1000))/$C$9*$C$9</f>
        <v>7.5330911824000015</v>
      </c>
      <c r="I135" s="543" t="s">
        <v>2160</v>
      </c>
      <c r="J135" s="544">
        <f>(((I86^2+J86^2)*$M$68)+((I87^2+J87^2)*$P$68)+((I88^2+J88^2)*S137))/(100*$C$9)</f>
        <v>0.16596191867499999</v>
      </c>
      <c r="K135" s="542">
        <f>(((L78^2+M78^2)*$C$68/1000)+((L79^2+M79^2)*$G$68/1000)+((L80^2+M80^2)*$J$68/1000))/$C$9*$C$9</f>
        <v>8.0961538572000009</v>
      </c>
      <c r="L135" s="543" t="s">
        <v>2160</v>
      </c>
      <c r="M135" s="544">
        <f>(((L86^2+M86^2)*$M$68)+((L87^2+M87^2)*$P$68)+((L88^2+M88^2)*V137))/(100*$C$9)</f>
        <v>0.17595878537499998</v>
      </c>
      <c r="N135" s="542">
        <f>(((O78^2+P78^2)*$C$68/1000)+((O79^2+P79^2)*$G$68/1000)+((O80^2+P80^2)*$J$68/1000))/$C$9*$C$9</f>
        <v>9.1707870159999985</v>
      </c>
      <c r="O135" s="543" t="s">
        <v>2160</v>
      </c>
      <c r="P135" s="544">
        <f>(((O86^2+P86^2)*$M$68)+((O87^2+P87^2)*$P$68)+((O88^2+P88^2)*Y137))/(100*$C$9)</f>
        <v>0.20119939100000003</v>
      </c>
      <c r="Q135" s="542">
        <f>(((R78^2+S78^2)*$C$68/1000)+((R79^2+S79^2)*$G$68/1000)+((R80^2+S80^2)*$J$68/1000))/$C$9*$C$9</f>
        <v>9.1816829144000014</v>
      </c>
      <c r="R135" s="543" t="s">
        <v>2160</v>
      </c>
      <c r="S135" s="544">
        <f>(((R86^2+S86^2)*$M$68)+((R87^2+S87^2)*$P$68)+((R88^2+S88^2)*AB137))/(100*$C$9)</f>
        <v>0.20492003487500005</v>
      </c>
      <c r="T135" s="542">
        <f>(((U78^2+V78^2)*$C$68/1000)+((U79^2+V79^2)*$G$68/1000)+((U80^2+V80^2)*$J$68/1000))/$C$9*$C$9</f>
        <v>9.6421024378864715</v>
      </c>
      <c r="U135" s="543" t="s">
        <v>2160</v>
      </c>
      <c r="V135" s="544">
        <f>(((U86^2+V86^2)*$M$68)+((U87^2+V87^2)*$P$68)+((U88^2+V88^2)*AE137))/(100*$C$9)</f>
        <v>0.20667487347499996</v>
      </c>
      <c r="W135" s="542">
        <f>(((X78^2+Y78^2)*$C$68/1000)+((X79^2+Y79^2)*$G$68/1000)+((X80^2+Y80^2)*$J$68/1000))/$C$9*$C$9</f>
        <v>7.1103055368498502</v>
      </c>
      <c r="X135" s="543" t="s">
        <v>2160</v>
      </c>
      <c r="Y135" s="544">
        <f>(((X86^2+Y86^2)*$M$68)+((X87^2+Y87^2)*$P$68)+((X88^2+Y88^2)*AH137))/(100*$C$9)</f>
        <v>0.25206204055000003</v>
      </c>
      <c r="Z135" s="542">
        <f>(((AA78^2+AB78^2)*$C$68/1000)+((AA79^2+AB79^2)*$G$68/1000)+((AA80^2+AB80^2)*$J$68/1000))/$C$9*$C$9</f>
        <v>9.1821890883305741</v>
      </c>
      <c r="AA135" s="543" t="s">
        <v>2160</v>
      </c>
      <c r="AB135" s="544">
        <f>(((AA86^2+AB86^2)*$M$68)+((AA87^2+AB87^2)*$P$68)+((AA88^2+AB88^2)*AK137))/(100*$C$9)</f>
        <v>0.20160207177499995</v>
      </c>
      <c r="AC135" s="542">
        <f>(((AD78^2+AE78^2)*$C$68/1000)+((AD79^2+AE79^2)*$G$68/1000)+((AD80^2+AE80^2)*$J$68/1000))/$C$9*$C$9</f>
        <v>8.800354038865251</v>
      </c>
      <c r="AD135" s="543" t="s">
        <v>2160</v>
      </c>
      <c r="AE135" s="544">
        <f>(((AD86^2+AE86^2)*$M$68)+((AD87^2+AE87^2)*$P$68)+((AD88^2+AE88^2)*AN137))/(100*$C$9)</f>
        <v>0.19713085727500002</v>
      </c>
      <c r="AF135" s="542">
        <f>(((AG78^2+AH78^2)*$C$68/1000)+((AG79^2+AH79^2)*$G$68/1000)+((AG80^2+AH80^2)*$J$68/1000))/$C$9*$C$9</f>
        <v>7.9685595505964564</v>
      </c>
      <c r="AG135" s="543" t="s">
        <v>2160</v>
      </c>
      <c r="AH135" s="544">
        <f>(((AG86^2+AH86^2)*$M$68)+((AG87^2+AH87^2)*$P$68)+((AG88^2+AH88^2)*AQ137))/(100*$C$9)</f>
        <v>0.18093474549999997</v>
      </c>
      <c r="AI135" s="542">
        <f>(((AJ78^2+AK78^2)*$C$68/1000)+((AJ79^2+AK79^2)*$G$68/1000)+((AJ80^2+AK80^2)*$J$68/1000))/$C$9*$C$9</f>
        <v>7.5021639003999994</v>
      </c>
      <c r="AJ135" s="543" t="s">
        <v>2160</v>
      </c>
      <c r="AK135" s="544">
        <f>(((AJ86^2+AK86^2)*$M$68)+((AJ87^2+AK87^2)*$P$68)+((AJ88^2+AK88^2)*CD68))/(100*$C$9)</f>
        <v>0.166762113175</v>
      </c>
      <c r="AL135" s="542">
        <f>(((AM78^2+AN78^2)*$C$68/1000)+((AM79^2+AN79^2)*$G$68/1000)+((AM80^2+AN80^2)*$J$68/1000))/$C$9*$C$9</f>
        <v>7.0528232868000007</v>
      </c>
      <c r="AM135" s="543" t="s">
        <v>2160</v>
      </c>
      <c r="AN135" s="544">
        <f>(((AM86^2+AN86^2)*$M$68)+((AM87^2+AN87^2)*$P$68)+((AM88^2+AN88^2)*CG68))/(100*$C$9)</f>
        <v>0.15417907077500001</v>
      </c>
      <c r="AO135" s="542">
        <f>(((AP78^2+AQ78^2)*$C$68/1000)+((AP79^2+AQ79^2)*$G$68/1000)+((AP80^2+AQ80^2)*$J$68/1000))/$C$9*$C$9</f>
        <v>6.7049347332000009</v>
      </c>
      <c r="AP135" s="543" t="s">
        <v>2160</v>
      </c>
      <c r="AQ135" s="544">
        <f>(((AP86^2+AQ86^2)*$M$68)+((AP87^2+AQ87^2)*$P$68)+((AP88^2+AQ88^2)*CJ68))/(100*$C$9)</f>
        <v>0.10173170275</v>
      </c>
    </row>
    <row r="136" spans="1:43" ht="16.5" hidden="1" x14ac:dyDescent="0.25">
      <c r="A136" s="1359"/>
      <c r="B136" s="545" t="s">
        <v>2163</v>
      </c>
      <c r="C136" s="546">
        <v>32.5</v>
      </c>
      <c r="D136" s="547"/>
      <c r="E136" s="1361" t="s">
        <v>2164</v>
      </c>
      <c r="F136" s="1361"/>
      <c r="G136" s="548">
        <v>46.4</v>
      </c>
      <c r="H136" s="1349"/>
      <c r="I136" s="1350"/>
      <c r="J136" s="1351"/>
      <c r="K136" s="1349"/>
      <c r="L136" s="1350"/>
      <c r="M136" s="1351"/>
      <c r="N136" s="1349"/>
      <c r="O136" s="1350"/>
      <c r="P136" s="1351"/>
      <c r="Q136" s="1349"/>
      <c r="R136" s="1350"/>
      <c r="S136" s="1351"/>
      <c r="T136" s="1349"/>
      <c r="U136" s="1350"/>
      <c r="V136" s="1351"/>
      <c r="W136" s="1349"/>
      <c r="X136" s="1350"/>
      <c r="Y136" s="1351"/>
      <c r="Z136" s="1349"/>
      <c r="AA136" s="1350"/>
      <c r="AB136" s="1351"/>
      <c r="AC136" s="1349"/>
      <c r="AD136" s="1350"/>
      <c r="AE136" s="1351"/>
      <c r="AF136" s="1349"/>
      <c r="AG136" s="1350"/>
      <c r="AH136" s="1351"/>
      <c r="AI136" s="1349"/>
      <c r="AJ136" s="1350"/>
      <c r="AK136" s="1351"/>
      <c r="AL136" s="1349"/>
      <c r="AM136" s="1350"/>
      <c r="AN136" s="1351"/>
      <c r="AO136" s="1349"/>
      <c r="AP136" s="1350"/>
      <c r="AQ136" s="1351"/>
    </row>
    <row r="137" spans="1:43" ht="17.25" hidden="1" thickBot="1" x14ac:dyDescent="0.3">
      <c r="A137" s="1359"/>
      <c r="B137" s="632" t="s">
        <v>2197</v>
      </c>
      <c r="C137" s="471">
        <v>136.4</v>
      </c>
      <c r="D137" s="473"/>
      <c r="E137" s="552"/>
      <c r="F137" s="552" t="s">
        <v>2198</v>
      </c>
      <c r="G137" s="469">
        <v>70.67</v>
      </c>
      <c r="H137" s="1352"/>
      <c r="I137" s="1353"/>
      <c r="J137" s="1354"/>
      <c r="K137" s="1352"/>
      <c r="L137" s="1353"/>
      <c r="M137" s="1354"/>
      <c r="N137" s="1352"/>
      <c r="O137" s="1353"/>
      <c r="P137" s="1354"/>
      <c r="Q137" s="1352"/>
      <c r="R137" s="1353"/>
      <c r="S137" s="1354"/>
      <c r="T137" s="1352"/>
      <c r="U137" s="1353"/>
      <c r="V137" s="1354"/>
      <c r="W137" s="1352"/>
      <c r="X137" s="1353"/>
      <c r="Y137" s="1354"/>
      <c r="Z137" s="1352"/>
      <c r="AA137" s="1353"/>
      <c r="AB137" s="1354"/>
      <c r="AC137" s="1352"/>
      <c r="AD137" s="1353"/>
      <c r="AE137" s="1354"/>
      <c r="AF137" s="1352"/>
      <c r="AG137" s="1353"/>
      <c r="AH137" s="1354"/>
      <c r="AI137" s="1352"/>
      <c r="AJ137" s="1353"/>
      <c r="AK137" s="1354"/>
      <c r="AL137" s="1352"/>
      <c r="AM137" s="1353"/>
      <c r="AN137" s="1354"/>
      <c r="AO137" s="1352"/>
      <c r="AP137" s="1353"/>
      <c r="AQ137" s="1354"/>
    </row>
    <row r="138" spans="1:43" ht="17.25" hidden="1" thickBot="1" x14ac:dyDescent="0.3">
      <c r="A138" s="1360"/>
      <c r="B138" s="1355" t="s">
        <v>2167</v>
      </c>
      <c r="C138" s="1356"/>
      <c r="D138" s="1356"/>
      <c r="E138" s="1356"/>
      <c r="F138" s="1356"/>
      <c r="G138" s="1357"/>
      <c r="H138" s="563">
        <f>I86</f>
        <v>4.8449999999999998</v>
      </c>
      <c r="I138" s="564" t="s">
        <v>2160</v>
      </c>
      <c r="J138" s="565">
        <f>J86</f>
        <v>1.196</v>
      </c>
      <c r="K138" s="563">
        <f>L86</f>
        <v>4.9859999999999998</v>
      </c>
      <c r="L138" s="564" t="s">
        <v>2160</v>
      </c>
      <c r="M138" s="565">
        <f>M86</f>
        <v>1.2430000000000001</v>
      </c>
      <c r="N138" s="563">
        <f>O86</f>
        <v>5.3280000000000003</v>
      </c>
      <c r="O138" s="564" t="s">
        <v>2160</v>
      </c>
      <c r="P138" s="565">
        <f>P86</f>
        <v>1.3440000000000001</v>
      </c>
      <c r="Q138" s="563">
        <f>R86</f>
        <v>5.3890000000000002</v>
      </c>
      <c r="R138" s="564" t="s">
        <v>2160</v>
      </c>
      <c r="S138" s="565">
        <f>S86</f>
        <v>1.3080000000000001</v>
      </c>
      <c r="T138" s="563">
        <f>U86</f>
        <v>5.4189999999999996</v>
      </c>
      <c r="U138" s="564" t="s">
        <v>2160</v>
      </c>
      <c r="V138" s="565">
        <f>V86</f>
        <v>1.284</v>
      </c>
      <c r="W138" s="563">
        <f>X86</f>
        <v>5.9450000000000003</v>
      </c>
      <c r="X138" s="564" t="s">
        <v>2160</v>
      </c>
      <c r="Y138" s="565">
        <f>Y86</f>
        <v>1.571</v>
      </c>
      <c r="Z138" s="563">
        <f>AA86</f>
        <v>5.3579999999999997</v>
      </c>
      <c r="AA138" s="564" t="s">
        <v>2160</v>
      </c>
      <c r="AB138" s="565">
        <f>AB86</f>
        <v>1.2430000000000001</v>
      </c>
      <c r="AC138" s="563">
        <f>AD86</f>
        <v>5.2880000000000003</v>
      </c>
      <c r="AD138" s="564" t="s">
        <v>2160</v>
      </c>
      <c r="AE138" s="565">
        <f>AE86</f>
        <v>1.2729999999999999</v>
      </c>
      <c r="AF138" s="563">
        <f>AG86</f>
        <v>5.0759999999999996</v>
      </c>
      <c r="AG138" s="564" t="s">
        <v>2160</v>
      </c>
      <c r="AH138" s="565">
        <f>AH86</f>
        <v>1.1779999999999999</v>
      </c>
      <c r="AI138" s="563">
        <f>AJ86</f>
        <v>4.8650000000000002</v>
      </c>
      <c r="AJ138" s="564" t="s">
        <v>2160</v>
      </c>
      <c r="AK138" s="565">
        <f>AK86</f>
        <v>1.1659999999999999</v>
      </c>
      <c r="AL138" s="563">
        <f>AM86</f>
        <v>4.673</v>
      </c>
      <c r="AM138" s="564" t="s">
        <v>2160</v>
      </c>
      <c r="AN138" s="565">
        <f>AN86</f>
        <v>1.1419999999999999</v>
      </c>
      <c r="AO138" s="563">
        <f>AP86</f>
        <v>3.7370000000000001</v>
      </c>
      <c r="AP138" s="564" t="s">
        <v>2160</v>
      </c>
      <c r="AQ138" s="565">
        <f>AQ86</f>
        <v>1.131</v>
      </c>
    </row>
    <row r="139" spans="1:43" ht="16.5" hidden="1" x14ac:dyDescent="0.25">
      <c r="A139" s="1346" t="s">
        <v>2168</v>
      </c>
      <c r="B139" s="1347"/>
      <c r="C139" s="1347"/>
      <c r="D139" s="1347"/>
      <c r="E139" s="1347"/>
      <c r="F139" s="1347"/>
      <c r="G139" s="1348"/>
      <c r="H139" s="568"/>
      <c r="I139" s="569"/>
      <c r="J139" s="551"/>
      <c r="K139" s="568"/>
      <c r="L139" s="569"/>
      <c r="M139" s="551"/>
      <c r="N139" s="568"/>
      <c r="O139" s="569"/>
      <c r="P139" s="551"/>
      <c r="Q139" s="568"/>
      <c r="R139" s="569"/>
      <c r="S139" s="551"/>
      <c r="T139" s="568"/>
      <c r="U139" s="569"/>
      <c r="V139" s="551"/>
      <c r="W139" s="568"/>
      <c r="X139" s="569"/>
      <c r="Y139" s="551"/>
      <c r="Z139" s="568"/>
      <c r="AA139" s="569"/>
      <c r="AB139" s="551"/>
      <c r="AC139" s="568"/>
      <c r="AD139" s="569"/>
      <c r="AE139" s="551"/>
      <c r="AF139" s="568"/>
      <c r="AG139" s="569"/>
      <c r="AH139" s="551"/>
      <c r="AI139" s="568"/>
      <c r="AJ139" s="569"/>
      <c r="AK139" s="551"/>
      <c r="AL139" s="568"/>
      <c r="AM139" s="569"/>
      <c r="AN139" s="551"/>
      <c r="AO139" s="568"/>
      <c r="AP139" s="569"/>
      <c r="AQ139" s="551"/>
    </row>
    <row r="140" spans="1:43" ht="17.25" hidden="1" thickBot="1" x14ac:dyDescent="0.3">
      <c r="A140" s="570" t="s">
        <v>2169</v>
      </c>
      <c r="B140" s="571"/>
      <c r="C140" s="572"/>
      <c r="D140" s="571"/>
      <c r="E140" s="473"/>
      <c r="F140" s="571" t="s">
        <v>2170</v>
      </c>
      <c r="G140" s="472"/>
      <c r="H140" s="573">
        <f>SUM(H133,H138)</f>
        <v>10.516</v>
      </c>
      <c r="I140" s="574" t="s">
        <v>2160</v>
      </c>
      <c r="J140" s="575">
        <f>SUM(J133,J138)</f>
        <v>2.4509999999999996</v>
      </c>
      <c r="K140" s="573">
        <f>SUM(K133,K138)</f>
        <v>10.878</v>
      </c>
      <c r="L140" s="574" t="s">
        <v>2160</v>
      </c>
      <c r="M140" s="575">
        <f>SUM(M133,M138)</f>
        <v>2.5810000000000004</v>
      </c>
      <c r="N140" s="573">
        <f>SUM(N133,N138)</f>
        <v>11.573</v>
      </c>
      <c r="O140" s="574" t="s">
        <v>2160</v>
      </c>
      <c r="P140" s="575">
        <f>SUM(P133,P138)</f>
        <v>2.919</v>
      </c>
      <c r="Q140" s="573">
        <f>SUM(Q133,Q138)</f>
        <v>11.644</v>
      </c>
      <c r="R140" s="574" t="s">
        <v>2160</v>
      </c>
      <c r="S140" s="575">
        <f>SUM(S133,S138)</f>
        <v>2.847</v>
      </c>
      <c r="T140" s="573">
        <f>SUM(T133,T138)</f>
        <v>11.815</v>
      </c>
      <c r="U140" s="574" t="s">
        <v>2160</v>
      </c>
      <c r="V140" s="575">
        <f>SUM(V133,V138)</f>
        <v>2.8170000000000002</v>
      </c>
      <c r="W140" s="573">
        <f>SUM(W133,W138)</f>
        <v>11.436</v>
      </c>
      <c r="X140" s="574" t="s">
        <v>2160</v>
      </c>
      <c r="Y140" s="575">
        <f>SUM(Y133,Y138)</f>
        <v>3.0469999999999997</v>
      </c>
      <c r="Z140" s="573">
        <f>SUM(Z133,Z138)</f>
        <v>11.603</v>
      </c>
      <c r="AA140" s="574" t="s">
        <v>2160</v>
      </c>
      <c r="AB140" s="575">
        <f>SUM(AB133,AB138)</f>
        <v>2.758</v>
      </c>
      <c r="AC140" s="573">
        <f>SUM(AC133,AC138)</f>
        <v>11.411999999999999</v>
      </c>
      <c r="AD140" s="574" t="s">
        <v>2160</v>
      </c>
      <c r="AE140" s="575">
        <f>SUM(AE133,AE138)</f>
        <v>2.7349999999999999</v>
      </c>
      <c r="AF140" s="573">
        <f>SUM(AF133,AF138)</f>
        <v>10.888</v>
      </c>
      <c r="AG140" s="574" t="s">
        <v>2160</v>
      </c>
      <c r="AH140" s="575">
        <f>SUM(AH133,AH138)</f>
        <v>2.61</v>
      </c>
      <c r="AI140" s="573">
        <f>SUM(AI133,AI138)</f>
        <v>10.495000000000001</v>
      </c>
      <c r="AJ140" s="574" t="s">
        <v>2160</v>
      </c>
      <c r="AK140" s="575">
        <f>SUM(AK133,AK138)</f>
        <v>2.5750000000000002</v>
      </c>
      <c r="AL140" s="573">
        <f>SUM(AL133,AL138)</f>
        <v>10.141999999999999</v>
      </c>
      <c r="AM140" s="574" t="s">
        <v>2160</v>
      </c>
      <c r="AN140" s="575">
        <f>SUM(AN133,AN138)</f>
        <v>2.5510000000000002</v>
      </c>
      <c r="AO140" s="573">
        <f>SUM(AO133,AO138)</f>
        <v>9.0749999999999993</v>
      </c>
      <c r="AP140" s="574" t="s">
        <v>2160</v>
      </c>
      <c r="AQ140" s="575">
        <f>SUM(AQ133,AQ138)</f>
        <v>2.528</v>
      </c>
    </row>
    <row r="141" spans="1:43" ht="16.5" hidden="1" x14ac:dyDescent="0.25">
      <c r="A141" s="576" t="s">
        <v>2171</v>
      </c>
      <c r="B141" s="633"/>
      <c r="C141" s="633"/>
      <c r="D141" s="633"/>
      <c r="E141" s="633"/>
      <c r="F141" s="633"/>
      <c r="G141" s="633"/>
      <c r="H141" s="633"/>
      <c r="I141" s="635">
        <f>J140/H140</f>
        <v>0.23307341194370479</v>
      </c>
      <c r="J141" s="633"/>
      <c r="K141" s="633"/>
      <c r="L141" s="635">
        <f>M140/K140</f>
        <v>0.23726788012502301</v>
      </c>
      <c r="M141" s="633"/>
      <c r="N141" s="633"/>
      <c r="O141" s="635">
        <f>P140/N140</f>
        <v>0.25222500648060142</v>
      </c>
      <c r="P141" s="633"/>
      <c r="Q141" s="633"/>
      <c r="R141" s="635">
        <f>S140/Q140</f>
        <v>0.24450360700790105</v>
      </c>
      <c r="S141" s="633"/>
      <c r="T141" s="633"/>
      <c r="U141" s="635">
        <f>V140/T140</f>
        <v>0.23842573000423192</v>
      </c>
      <c r="V141" s="633"/>
      <c r="W141" s="633"/>
      <c r="X141" s="635">
        <f>Y140/W140</f>
        <v>0.26643931444561031</v>
      </c>
      <c r="Y141" s="633"/>
      <c r="Z141" s="633"/>
      <c r="AA141" s="635">
        <f>AB140/Z140</f>
        <v>0.23769714728949409</v>
      </c>
      <c r="AB141" s="633"/>
      <c r="AC141" s="633"/>
      <c r="AD141" s="635">
        <f>AE140/AC140</f>
        <v>0.23966000701016474</v>
      </c>
      <c r="AE141" s="633"/>
      <c r="AF141" s="633"/>
      <c r="AG141" s="635">
        <f>AH140/AF140</f>
        <v>0.23971344599559147</v>
      </c>
      <c r="AH141" s="633"/>
      <c r="AI141" s="633"/>
      <c r="AJ141" s="635">
        <f>AK140/AI140</f>
        <v>0.24535493091948546</v>
      </c>
      <c r="AK141" s="633"/>
      <c r="AL141" s="633"/>
      <c r="AM141" s="635">
        <f>AN140/AL140</f>
        <v>0.25152829816604222</v>
      </c>
      <c r="AN141" s="633"/>
      <c r="AO141" s="633"/>
      <c r="AP141" s="635">
        <f>AQ140/AO140</f>
        <v>0.27856749311294771</v>
      </c>
      <c r="AQ141" s="633"/>
    </row>
    <row r="142" spans="1:43" ht="16.5" hidden="1" x14ac:dyDescent="0.25">
      <c r="A142" s="576" t="s">
        <v>2172</v>
      </c>
      <c r="B142" s="576"/>
      <c r="C142" s="576"/>
      <c r="D142" s="576"/>
      <c r="E142" s="576"/>
      <c r="F142" s="576"/>
      <c r="G142" s="578"/>
    </row>
  </sheetData>
  <mergeCells count="476">
    <mergeCell ref="Z6:AB6"/>
    <mergeCell ref="AC6:AE6"/>
    <mergeCell ref="AF6:AH6"/>
    <mergeCell ref="AI6:AK6"/>
    <mergeCell ref="AL6:AN6"/>
    <mergeCell ref="AO6:AQ6"/>
    <mergeCell ref="A3:AQ3"/>
    <mergeCell ref="AN4:AQ4"/>
    <mergeCell ref="BX4:CA4"/>
    <mergeCell ref="A6:G6"/>
    <mergeCell ref="H6:J6"/>
    <mergeCell ref="K6:M6"/>
    <mergeCell ref="N6:P6"/>
    <mergeCell ref="Q6:S6"/>
    <mergeCell ref="T6:V6"/>
    <mergeCell ref="W6:Y6"/>
    <mergeCell ref="A7:B8"/>
    <mergeCell ref="C7:C8"/>
    <mergeCell ref="D7:G8"/>
    <mergeCell ref="A9:B16"/>
    <mergeCell ref="C9:C16"/>
    <mergeCell ref="D9:E11"/>
    <mergeCell ref="F9:G9"/>
    <mergeCell ref="F10:G10"/>
    <mergeCell ref="F11:G11"/>
    <mergeCell ref="D12:G12"/>
    <mergeCell ref="Z12:AB12"/>
    <mergeCell ref="AC12:AE12"/>
    <mergeCell ref="AF12:AH12"/>
    <mergeCell ref="AI12:AK12"/>
    <mergeCell ref="AL12:AN12"/>
    <mergeCell ref="AO12:AQ12"/>
    <mergeCell ref="H12:J12"/>
    <mergeCell ref="K12:M12"/>
    <mergeCell ref="N12:P12"/>
    <mergeCell ref="Q12:S12"/>
    <mergeCell ref="T12:V12"/>
    <mergeCell ref="W12:Y12"/>
    <mergeCell ref="AL13:AN13"/>
    <mergeCell ref="AO13:AQ13"/>
    <mergeCell ref="F14:G14"/>
    <mergeCell ref="H14:J14"/>
    <mergeCell ref="K14:M14"/>
    <mergeCell ref="N14:P14"/>
    <mergeCell ref="Q14:S14"/>
    <mergeCell ref="T14:V14"/>
    <mergeCell ref="W14:Y14"/>
    <mergeCell ref="Z14:AB14"/>
    <mergeCell ref="T13:V13"/>
    <mergeCell ref="W13:Y13"/>
    <mergeCell ref="Z13:AB13"/>
    <mergeCell ref="AC13:AE13"/>
    <mergeCell ref="AF13:AH13"/>
    <mergeCell ref="AI13:AK13"/>
    <mergeCell ref="F13:G13"/>
    <mergeCell ref="H13:J13"/>
    <mergeCell ref="K13:M13"/>
    <mergeCell ref="N13:P13"/>
    <mergeCell ref="Q13:S13"/>
    <mergeCell ref="AC14:AE14"/>
    <mergeCell ref="AF14:AH14"/>
    <mergeCell ref="AI14:AK14"/>
    <mergeCell ref="AL14:AN14"/>
    <mergeCell ref="AO14:AQ14"/>
    <mergeCell ref="F15:G15"/>
    <mergeCell ref="H15:J15"/>
    <mergeCell ref="K15:M15"/>
    <mergeCell ref="N15:P15"/>
    <mergeCell ref="Q15:S15"/>
    <mergeCell ref="AL16:AN16"/>
    <mergeCell ref="AO16:AQ16"/>
    <mergeCell ref="A17:B24"/>
    <mergeCell ref="C17:C24"/>
    <mergeCell ref="D17:E19"/>
    <mergeCell ref="F17:G17"/>
    <mergeCell ref="F18:G18"/>
    <mergeCell ref="AL15:AN15"/>
    <mergeCell ref="AO15:AQ15"/>
    <mergeCell ref="D16:G16"/>
    <mergeCell ref="H16:J16"/>
    <mergeCell ref="K16:M16"/>
    <mergeCell ref="N16:P16"/>
    <mergeCell ref="Q16:S16"/>
    <mergeCell ref="T16:V16"/>
    <mergeCell ref="W16:Y16"/>
    <mergeCell ref="Z16:AB16"/>
    <mergeCell ref="T15:V15"/>
    <mergeCell ref="W15:Y15"/>
    <mergeCell ref="Z15:AB15"/>
    <mergeCell ref="AC15:AE15"/>
    <mergeCell ref="AF15:AH15"/>
    <mergeCell ref="AI15:AK15"/>
    <mergeCell ref="D13:E15"/>
    <mergeCell ref="F19:G19"/>
    <mergeCell ref="D20:G20"/>
    <mergeCell ref="H20:J20"/>
    <mergeCell ref="K20:M20"/>
    <mergeCell ref="N20:P20"/>
    <mergeCell ref="Q20:S20"/>
    <mergeCell ref="AC16:AE16"/>
    <mergeCell ref="AF16:AH16"/>
    <mergeCell ref="AI16:AK16"/>
    <mergeCell ref="Z21:AB21"/>
    <mergeCell ref="AC21:AE21"/>
    <mergeCell ref="AF21:AH21"/>
    <mergeCell ref="AI21:AK21"/>
    <mergeCell ref="AL21:AN21"/>
    <mergeCell ref="AO21:AQ21"/>
    <mergeCell ref="AL20:AN20"/>
    <mergeCell ref="AO20:AQ20"/>
    <mergeCell ref="D21:E23"/>
    <mergeCell ref="F21:G21"/>
    <mergeCell ref="H21:J21"/>
    <mergeCell ref="K21:M21"/>
    <mergeCell ref="N21:P21"/>
    <mergeCell ref="Q21:S21"/>
    <mergeCell ref="T21:V21"/>
    <mergeCell ref="W21:Y21"/>
    <mergeCell ref="T20:V20"/>
    <mergeCell ref="W20:Y20"/>
    <mergeCell ref="Z20:AB20"/>
    <mergeCell ref="AC20:AE20"/>
    <mergeCell ref="AF20:AH20"/>
    <mergeCell ref="AI20:AK20"/>
    <mergeCell ref="AO22:AQ22"/>
    <mergeCell ref="F23:G23"/>
    <mergeCell ref="H23:J23"/>
    <mergeCell ref="K23:M23"/>
    <mergeCell ref="N23:P23"/>
    <mergeCell ref="Q23:S23"/>
    <mergeCell ref="T23:V23"/>
    <mergeCell ref="W23:Y23"/>
    <mergeCell ref="Z23:AB23"/>
    <mergeCell ref="AC23:AE23"/>
    <mergeCell ref="W22:Y22"/>
    <mergeCell ref="Z22:AB22"/>
    <mergeCell ref="AC22:AE22"/>
    <mergeCell ref="AF22:AH22"/>
    <mergeCell ref="AI22:AK22"/>
    <mergeCell ref="AL22:AN22"/>
    <mergeCell ref="F22:G22"/>
    <mergeCell ref="H22:J22"/>
    <mergeCell ref="K22:M22"/>
    <mergeCell ref="N22:P22"/>
    <mergeCell ref="Q22:S22"/>
    <mergeCell ref="T22:V22"/>
    <mergeCell ref="AF23:AH23"/>
    <mergeCell ref="AI23:AK23"/>
    <mergeCell ref="AL23:AN23"/>
    <mergeCell ref="AO23:AQ23"/>
    <mergeCell ref="D24:G24"/>
    <mergeCell ref="H24:J24"/>
    <mergeCell ref="K24:M24"/>
    <mergeCell ref="N24:P24"/>
    <mergeCell ref="Q24:S24"/>
    <mergeCell ref="T24:V24"/>
    <mergeCell ref="E28:F28"/>
    <mergeCell ref="E29:F29"/>
    <mergeCell ref="E30:F30"/>
    <mergeCell ref="A32:C32"/>
    <mergeCell ref="D32:E32"/>
    <mergeCell ref="F32:G32"/>
    <mergeCell ref="AO24:AQ24"/>
    <mergeCell ref="A25:C27"/>
    <mergeCell ref="D25:E27"/>
    <mergeCell ref="F25:G25"/>
    <mergeCell ref="F26:G26"/>
    <mergeCell ref="F27:G27"/>
    <mergeCell ref="W24:Y24"/>
    <mergeCell ref="Z24:AB24"/>
    <mergeCell ref="AC24:AE24"/>
    <mergeCell ref="AF24:AH24"/>
    <mergeCell ref="AI24:AK24"/>
    <mergeCell ref="AL24:AN24"/>
    <mergeCell ref="AF32:AH33"/>
    <mergeCell ref="AI32:AK33"/>
    <mergeCell ref="AL32:AN33"/>
    <mergeCell ref="AO32:AQ33"/>
    <mergeCell ref="H32:J33"/>
    <mergeCell ref="K32:M33"/>
    <mergeCell ref="N32:P33"/>
    <mergeCell ref="Q32:S33"/>
    <mergeCell ref="T32:V33"/>
    <mergeCell ref="W32:Y33"/>
    <mergeCell ref="A33:C33"/>
    <mergeCell ref="A36:G36"/>
    <mergeCell ref="A37:G37"/>
    <mergeCell ref="A38:G38"/>
    <mergeCell ref="A40:C40"/>
    <mergeCell ref="D40:E40"/>
    <mergeCell ref="F40:G40"/>
    <mergeCell ref="Z32:AB33"/>
    <mergeCell ref="AC32:AE33"/>
    <mergeCell ref="AF40:AH41"/>
    <mergeCell ref="AI40:AK41"/>
    <mergeCell ref="AL40:AN41"/>
    <mergeCell ref="AO40:AQ41"/>
    <mergeCell ref="H40:J41"/>
    <mergeCell ref="K40:M41"/>
    <mergeCell ref="N40:P41"/>
    <mergeCell ref="Q40:S41"/>
    <mergeCell ref="T40:V41"/>
    <mergeCell ref="W40:Y41"/>
    <mergeCell ref="A41:C41"/>
    <mergeCell ref="A55:G55"/>
    <mergeCell ref="A56:G56"/>
    <mergeCell ref="A57:G57"/>
    <mergeCell ref="A60:A64"/>
    <mergeCell ref="E62:F62"/>
    <mergeCell ref="B64:G64"/>
    <mergeCell ref="Z40:AB41"/>
    <mergeCell ref="AC40:AE41"/>
    <mergeCell ref="AL62:AN63"/>
    <mergeCell ref="AO62:AQ63"/>
    <mergeCell ref="H63:I63"/>
    <mergeCell ref="K63:L63"/>
    <mergeCell ref="N63:O63"/>
    <mergeCell ref="Q63:R63"/>
    <mergeCell ref="T62:V63"/>
    <mergeCell ref="W62:Y63"/>
    <mergeCell ref="Z62:AB63"/>
    <mergeCell ref="AC62:AE63"/>
    <mergeCell ref="AF62:AH63"/>
    <mergeCell ref="AI62:AK63"/>
    <mergeCell ref="AO67:AQ68"/>
    <mergeCell ref="H68:I68"/>
    <mergeCell ref="K68:L68"/>
    <mergeCell ref="N68:O68"/>
    <mergeCell ref="Q68:R68"/>
    <mergeCell ref="A65:A69"/>
    <mergeCell ref="E67:F67"/>
    <mergeCell ref="T67:V68"/>
    <mergeCell ref="W67:Y68"/>
    <mergeCell ref="Z67:AB68"/>
    <mergeCell ref="AC67:AE68"/>
    <mergeCell ref="B69:G69"/>
    <mergeCell ref="A70:G70"/>
    <mergeCell ref="A75:G75"/>
    <mergeCell ref="H75:J75"/>
    <mergeCell ref="K75:M75"/>
    <mergeCell ref="N75:P75"/>
    <mergeCell ref="Q75:S75"/>
    <mergeCell ref="AF67:AH68"/>
    <mergeCell ref="AI67:AK68"/>
    <mergeCell ref="AL67:AN68"/>
    <mergeCell ref="AL75:AN75"/>
    <mergeCell ref="AO75:AQ75"/>
    <mergeCell ref="A76:B77"/>
    <mergeCell ref="C76:C77"/>
    <mergeCell ref="A78:B85"/>
    <mergeCell ref="C78:C85"/>
    <mergeCell ref="D78:E80"/>
    <mergeCell ref="F78:G78"/>
    <mergeCell ref="F79:G79"/>
    <mergeCell ref="F80:G80"/>
    <mergeCell ref="T75:V75"/>
    <mergeCell ref="W75:Y75"/>
    <mergeCell ref="Z75:AB75"/>
    <mergeCell ref="AC75:AE75"/>
    <mergeCell ref="AF75:AH75"/>
    <mergeCell ref="AI75:AK75"/>
    <mergeCell ref="AO81:AQ81"/>
    <mergeCell ref="D82:E84"/>
    <mergeCell ref="F82:G82"/>
    <mergeCell ref="H82:J82"/>
    <mergeCell ref="K82:M82"/>
    <mergeCell ref="N82:P82"/>
    <mergeCell ref="Q82:S82"/>
    <mergeCell ref="T82:V82"/>
    <mergeCell ref="W82:Y82"/>
    <mergeCell ref="Z82:AB82"/>
    <mergeCell ref="W81:Y81"/>
    <mergeCell ref="Z81:AB81"/>
    <mergeCell ref="AC81:AE81"/>
    <mergeCell ref="AF81:AH81"/>
    <mergeCell ref="AI81:AK81"/>
    <mergeCell ref="AL81:AN81"/>
    <mergeCell ref="D81:G81"/>
    <mergeCell ref="H81:J81"/>
    <mergeCell ref="K81:M81"/>
    <mergeCell ref="N81:P81"/>
    <mergeCell ref="Q81:S81"/>
    <mergeCell ref="T81:V81"/>
    <mergeCell ref="AC82:AE82"/>
    <mergeCell ref="AF82:AH82"/>
    <mergeCell ref="AI82:AK82"/>
    <mergeCell ref="AL82:AN82"/>
    <mergeCell ref="AO82:AQ82"/>
    <mergeCell ref="F83:G83"/>
    <mergeCell ref="H83:J83"/>
    <mergeCell ref="K83:M83"/>
    <mergeCell ref="N83:P83"/>
    <mergeCell ref="Q83:S83"/>
    <mergeCell ref="AL83:AN83"/>
    <mergeCell ref="AO83:AQ83"/>
    <mergeCell ref="F84:G84"/>
    <mergeCell ref="H84:J84"/>
    <mergeCell ref="K84:M84"/>
    <mergeCell ref="N84:P84"/>
    <mergeCell ref="Q84:S84"/>
    <mergeCell ref="T84:V84"/>
    <mergeCell ref="W84:Y84"/>
    <mergeCell ref="Z84:AB84"/>
    <mergeCell ref="T83:V83"/>
    <mergeCell ref="W83:Y83"/>
    <mergeCell ref="Z83:AB83"/>
    <mergeCell ref="AC83:AE83"/>
    <mergeCell ref="AF83:AH83"/>
    <mergeCell ref="AI83:AK83"/>
    <mergeCell ref="AC84:AE84"/>
    <mergeCell ref="AF84:AH84"/>
    <mergeCell ref="AI84:AK84"/>
    <mergeCell ref="AL84:AN84"/>
    <mergeCell ref="AO84:AQ84"/>
    <mergeCell ref="D85:G85"/>
    <mergeCell ref="H85:J85"/>
    <mergeCell ref="K85:M85"/>
    <mergeCell ref="N85:P85"/>
    <mergeCell ref="Q85:S85"/>
    <mergeCell ref="AL85:AN85"/>
    <mergeCell ref="AO85:AQ85"/>
    <mergeCell ref="A86:B93"/>
    <mergeCell ref="C86:C93"/>
    <mergeCell ref="D86:E88"/>
    <mergeCell ref="F86:G86"/>
    <mergeCell ref="F87:G87"/>
    <mergeCell ref="F88:G88"/>
    <mergeCell ref="D89:G89"/>
    <mergeCell ref="H89:J89"/>
    <mergeCell ref="T85:V85"/>
    <mergeCell ref="W85:Y85"/>
    <mergeCell ref="Z85:AB85"/>
    <mergeCell ref="AC85:AE85"/>
    <mergeCell ref="AF85:AH85"/>
    <mergeCell ref="AI85:AK85"/>
    <mergeCell ref="AC89:AE89"/>
    <mergeCell ref="AF89:AH89"/>
    <mergeCell ref="AI89:AK89"/>
    <mergeCell ref="AL89:AN89"/>
    <mergeCell ref="AO89:AQ89"/>
    <mergeCell ref="D90:E92"/>
    <mergeCell ref="F90:G90"/>
    <mergeCell ref="H90:J90"/>
    <mergeCell ref="K90:M90"/>
    <mergeCell ref="N90:P90"/>
    <mergeCell ref="K89:M89"/>
    <mergeCell ref="N89:P89"/>
    <mergeCell ref="Q89:S89"/>
    <mergeCell ref="T89:V89"/>
    <mergeCell ref="W89:Y89"/>
    <mergeCell ref="Z89:AB89"/>
    <mergeCell ref="AO91:AQ91"/>
    <mergeCell ref="AI90:AK90"/>
    <mergeCell ref="AL90:AN90"/>
    <mergeCell ref="AO90:AQ90"/>
    <mergeCell ref="F91:G91"/>
    <mergeCell ref="H91:J91"/>
    <mergeCell ref="K91:M91"/>
    <mergeCell ref="N91:P91"/>
    <mergeCell ref="Q91:S91"/>
    <mergeCell ref="T91:V91"/>
    <mergeCell ref="W91:Y91"/>
    <mergeCell ref="Q90:S90"/>
    <mergeCell ref="T90:V90"/>
    <mergeCell ref="W90:Y90"/>
    <mergeCell ref="Z90:AB90"/>
    <mergeCell ref="AC90:AE90"/>
    <mergeCell ref="AF90:AH90"/>
    <mergeCell ref="K92:M92"/>
    <mergeCell ref="N92:P92"/>
    <mergeCell ref="Q92:S92"/>
    <mergeCell ref="T92:V92"/>
    <mergeCell ref="Z91:AB91"/>
    <mergeCell ref="AC91:AE91"/>
    <mergeCell ref="AF91:AH91"/>
    <mergeCell ref="AI91:AK91"/>
    <mergeCell ref="AL91:AN91"/>
    <mergeCell ref="AO93:AQ93"/>
    <mergeCell ref="A94:C96"/>
    <mergeCell ref="D94:E96"/>
    <mergeCell ref="F94:G94"/>
    <mergeCell ref="F95:G95"/>
    <mergeCell ref="F96:G96"/>
    <mergeCell ref="AO92:AQ92"/>
    <mergeCell ref="D93:G93"/>
    <mergeCell ref="H93:J93"/>
    <mergeCell ref="K93:M93"/>
    <mergeCell ref="N93:P93"/>
    <mergeCell ref="Q93:S93"/>
    <mergeCell ref="T93:V93"/>
    <mergeCell ref="W93:Y93"/>
    <mergeCell ref="Z93:AB93"/>
    <mergeCell ref="AC93:AE93"/>
    <mergeCell ref="W92:Y92"/>
    <mergeCell ref="Z92:AB92"/>
    <mergeCell ref="AC92:AE92"/>
    <mergeCell ref="AF92:AH92"/>
    <mergeCell ref="AI92:AK92"/>
    <mergeCell ref="AL92:AN92"/>
    <mergeCell ref="F92:G92"/>
    <mergeCell ref="H92:J92"/>
    <mergeCell ref="E97:F97"/>
    <mergeCell ref="E98:F98"/>
    <mergeCell ref="E99:F99"/>
    <mergeCell ref="A101:C101"/>
    <mergeCell ref="D101:E101"/>
    <mergeCell ref="F101:G101"/>
    <mergeCell ref="AF93:AH93"/>
    <mergeCell ref="AI93:AK93"/>
    <mergeCell ref="AL93:AN93"/>
    <mergeCell ref="AF101:AH102"/>
    <mergeCell ref="AI101:AK102"/>
    <mergeCell ref="AL101:AN102"/>
    <mergeCell ref="AO101:AQ102"/>
    <mergeCell ref="H101:J102"/>
    <mergeCell ref="K101:M102"/>
    <mergeCell ref="N101:P102"/>
    <mergeCell ref="Q101:S102"/>
    <mergeCell ref="T101:V102"/>
    <mergeCell ref="W101:Y102"/>
    <mergeCell ref="A102:C102"/>
    <mergeCell ref="A105:G105"/>
    <mergeCell ref="A106:G106"/>
    <mergeCell ref="A107:G107"/>
    <mergeCell ref="A109:C109"/>
    <mergeCell ref="D109:E109"/>
    <mergeCell ref="F109:G109"/>
    <mergeCell ref="Z101:AB102"/>
    <mergeCell ref="AC101:AE102"/>
    <mergeCell ref="AF109:AH110"/>
    <mergeCell ref="AI109:AK110"/>
    <mergeCell ref="AL109:AN110"/>
    <mergeCell ref="AO109:AQ110"/>
    <mergeCell ref="H109:J110"/>
    <mergeCell ref="K109:M110"/>
    <mergeCell ref="N109:P110"/>
    <mergeCell ref="Q109:S110"/>
    <mergeCell ref="T109:V110"/>
    <mergeCell ref="W109:Y110"/>
    <mergeCell ref="A110:C110"/>
    <mergeCell ref="A124:G124"/>
    <mergeCell ref="A125:G125"/>
    <mergeCell ref="A126:G126"/>
    <mergeCell ref="A129:A133"/>
    <mergeCell ref="E131:F131"/>
    <mergeCell ref="B133:G133"/>
    <mergeCell ref="Z109:AB110"/>
    <mergeCell ref="AC109:AE110"/>
    <mergeCell ref="Z131:AB132"/>
    <mergeCell ref="AC131:AE132"/>
    <mergeCell ref="AF131:AH132"/>
    <mergeCell ref="AI131:AK132"/>
    <mergeCell ref="AL131:AN132"/>
    <mergeCell ref="AO131:AQ132"/>
    <mergeCell ref="H131:J132"/>
    <mergeCell ref="K131:M132"/>
    <mergeCell ref="N131:P132"/>
    <mergeCell ref="Q131:S132"/>
    <mergeCell ref="T131:V132"/>
    <mergeCell ref="W131:Y132"/>
    <mergeCell ref="AL136:AN137"/>
    <mergeCell ref="AO136:AQ137"/>
    <mergeCell ref="B138:G138"/>
    <mergeCell ref="A139:G139"/>
    <mergeCell ref="T136:V137"/>
    <mergeCell ref="W136:Y137"/>
    <mergeCell ref="Z136:AB137"/>
    <mergeCell ref="AC136:AE137"/>
    <mergeCell ref="AF136:AH137"/>
    <mergeCell ref="AI136:AK137"/>
    <mergeCell ref="A134:A138"/>
    <mergeCell ref="E136:F136"/>
    <mergeCell ref="H136:J137"/>
    <mergeCell ref="K136:M137"/>
    <mergeCell ref="N136:P137"/>
    <mergeCell ref="Q136:S13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ПС 110-35-10 "ГИБДД"</vt:lpstr>
      <vt:lpstr>ПС 35-10 "Ярки"</vt:lpstr>
      <vt:lpstr>ПС 110-10 "Самарово"</vt:lpstr>
      <vt:lpstr>ПС 110-10 "Западная"</vt:lpstr>
      <vt:lpstr>ПС 110-10-6 Пионерная-2</vt:lpstr>
      <vt:lpstr>ПС 110-10 Авангард</vt:lpstr>
      <vt:lpstr>ПС-110-10 МДФ</vt:lpstr>
      <vt:lpstr>ПС-110-35-10 ЮМАС</vt:lpstr>
      <vt:lpstr>'ПС 110-10 "Самарово"'!Область_печати</vt:lpstr>
      <vt:lpstr>'ПС 110-10 Авангард'!Область_печати</vt:lpstr>
      <vt:lpstr>'ПС-110-10 МДФ'!Область_печати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2015-01-19T04:49:59Z</dcterms:modified>
</cp:coreProperties>
</file>